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사업2팀]\0002. 동탄 호수공원 및 병점복합타운(2020년~ - 진행중)\7. 건설사업관리 용역 관련\1. 건설사업관리용역 발주관련\4. 계약요청\"/>
    </mc:Choice>
  </mc:AlternateContent>
  <bookViews>
    <workbookView xWindow="0" yWindow="0" windowWidth="28800" windowHeight="12975" tabRatio="914" firstSheet="2" activeTab="12"/>
  </bookViews>
  <sheets>
    <sheet name="표지" sheetId="32" r:id="rId1"/>
    <sheet name="참여업체현황" sheetId="2" r:id="rId2"/>
    <sheet name="참여기술인명단" sheetId="16" r:id="rId3"/>
    <sheet name="자기평가서" sheetId="14" r:id="rId4"/>
    <sheet name="가.개인별 경력 및 실적목록" sheetId="17" r:id="rId5"/>
    <sheet name="가.해당분야 경력" sheetId="18" r:id="rId6"/>
    <sheet name="가.직무분야 실적" sheetId="19" r:id="rId7"/>
    <sheet name="가.교육훈련 이수 및 기술자격현황" sheetId="20" r:id="rId8"/>
    <sheet name="나.유사용역사업 수행실적" sheetId="22" r:id="rId9"/>
    <sheet name="다.신용도" sheetId="23" r:id="rId10"/>
    <sheet name="라.기술개발 및 투자실적" sheetId="24" r:id="rId11"/>
    <sheet name="바.교체빈도" sheetId="27" r:id="rId12"/>
    <sheet name="공사비절감기여 기술자" sheetId="28" r:id="rId13"/>
    <sheet name="건설기술인 신규고용" sheetId="29" r:id="rId14"/>
    <sheet name="부패행위 관련자" sheetId="30" r:id="rId15"/>
    <sheet name="업무중첩도" sheetId="31" r:id="rId16"/>
  </sheets>
  <definedNames>
    <definedName name="_xlnm.Print_Area" localSheetId="4">'가.개인별 경력 및 실적목록'!$A$1:$K$14</definedName>
    <definedName name="_xlnm.Print_Area" localSheetId="7">'가.교육훈련 이수 및 기술자격현황'!$A$1:$J$27</definedName>
    <definedName name="_xlnm.Print_Area" localSheetId="6">'가.직무분야 실적'!$A$1:$I$127</definedName>
    <definedName name="_xlnm.Print_Area" localSheetId="5">'가.해당분야 경력'!$A$1:$L$141</definedName>
    <definedName name="_xlnm.Print_Area" localSheetId="8">'나.유사용역사업 수행실적'!$A$1:$L$63</definedName>
    <definedName name="_xlnm.Print_Area" localSheetId="9">다.신용도!$A$1:$I$22</definedName>
    <definedName name="_xlnm.Print_Area" localSheetId="10">'라.기술개발 및 투자실적'!$A$1:$P$81</definedName>
    <definedName name="_xlnm.Print_Area" localSheetId="11">바.교체빈도!$A$1:$K$26</definedName>
    <definedName name="_xlnm.Print_Area" localSheetId="14">'부패행위 관련자'!$A$1:$E$12</definedName>
    <definedName name="_xlnm.Print_Area" localSheetId="3">자기평가서!$A$1:$I$45</definedName>
    <definedName name="_xlnm.Print_Area" localSheetId="2">참여기술인명단!$A$1:$L$12</definedName>
    <definedName name="_xlnm.Print_Area" localSheetId="1">참여업체현황!$A$1:$L$13</definedName>
    <definedName name="경력1" localSheetId="13">#REF!</definedName>
    <definedName name="경력1" localSheetId="12">#REF!</definedName>
    <definedName name="경력1" localSheetId="11">#REF!</definedName>
    <definedName name="경력1" localSheetId="14">#REF!</definedName>
    <definedName name="경력1" localSheetId="15">#REF!</definedName>
    <definedName name="경력1">#REF!</definedName>
    <definedName name="교육">'가.교육훈련 이수 및 기술자격현황'!$K$5:$K$8</definedName>
    <definedName name="등급">'가.교육훈련 이수 및 기술자격현황'!$L$23:$L$24</definedName>
    <definedName name="등급1" localSheetId="13">#REF!</definedName>
    <definedName name="등급1" localSheetId="12">#REF!</definedName>
    <definedName name="등급1" localSheetId="11">#REF!</definedName>
    <definedName name="등급1" localSheetId="14">#REF!</definedName>
    <definedName name="등급1" localSheetId="15">#REF!</definedName>
    <definedName name="등급1">#REF!</definedName>
    <definedName name="등급표" localSheetId="13">#REF!</definedName>
    <definedName name="등급표" localSheetId="12">#REF!</definedName>
    <definedName name="등급표" localSheetId="11">#REF!</definedName>
    <definedName name="등급표" localSheetId="14">#REF!</definedName>
    <definedName name="등급표" localSheetId="15">#REF!</definedName>
    <definedName name="등급표">#REF!</definedName>
    <definedName name="등급표1" localSheetId="13">#REF!</definedName>
    <definedName name="등급표1" localSheetId="12">#REF!</definedName>
    <definedName name="등급표1" localSheetId="11">#REF!</definedName>
    <definedName name="등급표1" localSheetId="14">#REF!</definedName>
    <definedName name="등급표1" localSheetId="15">#REF!</definedName>
    <definedName name="등급표1">#REF!</definedName>
    <definedName name="등급표2" localSheetId="13">#REF!</definedName>
    <definedName name="등급표2" localSheetId="12">#REF!</definedName>
    <definedName name="등급표2" localSheetId="11">#REF!</definedName>
    <definedName name="등급표2" localSheetId="14">#REF!</definedName>
    <definedName name="등급표2" localSheetId="15">#REF!</definedName>
    <definedName name="등급표2">#REF!</definedName>
    <definedName name="신용평가등급" localSheetId="13">#REF!</definedName>
    <definedName name="신용평가등급" localSheetId="12">#REF!</definedName>
    <definedName name="신용평가등급" localSheetId="11">#REF!</definedName>
    <definedName name="신용평가등급" localSheetId="14">#REF!</definedName>
    <definedName name="신용평가등급" localSheetId="15">#REF!</definedName>
    <definedName name="신용평가등급">#REF!</definedName>
    <definedName name="용역구분" localSheetId="13">#REF!</definedName>
    <definedName name="용역구분" localSheetId="12">#REF!</definedName>
    <definedName name="용역구분" localSheetId="11">#REF!</definedName>
    <definedName name="용역구분" localSheetId="14">#REF!</definedName>
    <definedName name="용역구분" localSheetId="15">#REF!</definedName>
    <definedName name="용역구분">#REF!</definedName>
    <definedName name="자격증">'가.교육훈련 이수 및 기술자격현황'!$K$23:$K$26</definedName>
    <definedName name="자격증1" localSheetId="11">'가.교육훈련 이수 및 기술자격현황'!#REF!</definedName>
    <definedName name="자격증1">'가.교육훈련 이수 및 기술자격현황'!#REF!</definedName>
    <definedName name="토질" localSheetId="8">'가.교육훈련 이수 및 기술자격현황'!#REF!</definedName>
    <definedName name="토질" localSheetId="9">'가.교육훈련 이수 및 기술자격현황'!#REF!</definedName>
    <definedName name="토질" localSheetId="10">'가.교육훈련 이수 및 기술자격현황'!#REF!</definedName>
    <definedName name="토질" localSheetId="11">'가.교육훈련 이수 및 기술자격현황'!#REF!</definedName>
    <definedName name="토질">'가.교육훈련 이수 및 기술자격현황'!#REF!</definedName>
  </definedNames>
  <calcPr calcId="152511"/>
</workbook>
</file>

<file path=xl/calcChain.xml><?xml version="1.0" encoding="utf-8"?>
<calcChain xmlns="http://schemas.openxmlformats.org/spreadsheetml/2006/main">
  <c r="G9" i="14" l="1"/>
  <c r="G8" i="14"/>
  <c r="G26" i="20" l="1"/>
  <c r="G25" i="20"/>
  <c r="C6" i="17" l="1"/>
  <c r="G41" i="14"/>
  <c r="N8" i="29"/>
  <c r="O8" i="29" s="1"/>
  <c r="N5" i="29"/>
  <c r="J8" i="28"/>
  <c r="J7" i="28"/>
  <c r="J5" i="28"/>
  <c r="J13" i="28" s="1"/>
  <c r="G39" i="14" s="1"/>
  <c r="I12" i="20"/>
  <c r="I10" i="20"/>
  <c r="I8" i="20"/>
  <c r="P5" i="29" l="1"/>
  <c r="Q5" i="29" s="1"/>
  <c r="R5" i="29" s="1"/>
  <c r="G40" i="14" s="1"/>
  <c r="G42" i="14" s="1"/>
  <c r="E9" i="27"/>
  <c r="E8" i="27"/>
  <c r="E7" i="27"/>
  <c r="C18" i="27"/>
  <c r="C19" i="27"/>
  <c r="H21" i="27"/>
  <c r="H22" i="27"/>
  <c r="H18" i="27"/>
  <c r="H19" i="27"/>
  <c r="I24" i="20"/>
  <c r="G20" i="14" s="1"/>
  <c r="I23" i="20"/>
  <c r="D12" i="20"/>
  <c r="D10" i="20"/>
  <c r="I8" i="17"/>
  <c r="J8" i="17" s="1"/>
  <c r="I7" i="17"/>
  <c r="J7" i="17" s="1"/>
  <c r="D113" i="19"/>
  <c r="D101" i="19"/>
  <c r="G8" i="17" s="1"/>
  <c r="H8" i="17" s="1"/>
  <c r="D81" i="19"/>
  <c r="D69" i="19"/>
  <c r="G7" i="17" s="1"/>
  <c r="H7" i="17" s="1"/>
  <c r="C54" i="18"/>
  <c r="C3" i="18"/>
  <c r="C13" i="18"/>
  <c r="C76" i="18"/>
  <c r="E76" i="18"/>
  <c r="C97" i="19" s="1"/>
  <c r="E54" i="18"/>
  <c r="C65" i="19" s="1"/>
  <c r="C32" i="18"/>
  <c r="E63" i="18"/>
  <c r="E59" i="18"/>
  <c r="E85" i="18"/>
  <c r="E81" i="18"/>
  <c r="D6" i="17"/>
  <c r="D7" i="17"/>
  <c r="D8" i="17"/>
  <c r="D10" i="17"/>
  <c r="D11" i="17"/>
  <c r="C7" i="17"/>
  <c r="C8" i="17"/>
  <c r="C10" i="17"/>
  <c r="C11" i="17"/>
  <c r="F120" i="18" s="1"/>
  <c r="C5" i="17"/>
  <c r="B10" i="17"/>
  <c r="I25" i="20" l="1"/>
  <c r="I14" i="20"/>
  <c r="G15" i="14" s="1"/>
  <c r="E58" i="18"/>
  <c r="E7" i="17" s="1"/>
  <c r="F7" i="17" s="1"/>
  <c r="E80" i="18"/>
  <c r="E8" i="17" s="1"/>
  <c r="F8" i="17" s="1"/>
  <c r="F24" i="14"/>
  <c r="C17" i="27"/>
  <c r="B17" i="27"/>
  <c r="D8" i="20" l="1"/>
  <c r="E32" i="18"/>
  <c r="C33" i="19" s="1"/>
  <c r="B6" i="17"/>
  <c r="N12" i="24" l="1"/>
  <c r="D7" i="19"/>
  <c r="G5" i="17" s="1"/>
  <c r="H5" i="17" s="1"/>
  <c r="E129" i="18"/>
  <c r="E107" i="18"/>
  <c r="E41" i="18"/>
  <c r="E22" i="18"/>
  <c r="R68" i="24"/>
  <c r="Q68" i="24"/>
  <c r="S68" i="24" s="1"/>
  <c r="J68" i="24"/>
  <c r="T68" i="24" s="1"/>
  <c r="S67" i="24"/>
  <c r="R67" i="24"/>
  <c r="Q67" i="24"/>
  <c r="J67" i="24"/>
  <c r="T67" i="24" s="1"/>
  <c r="S66" i="24"/>
  <c r="R66" i="24"/>
  <c r="Q66" i="24"/>
  <c r="J66" i="24"/>
  <c r="T66" i="24" s="1"/>
  <c r="R62" i="24"/>
  <c r="Q62" i="24"/>
  <c r="J62" i="24"/>
  <c r="R61" i="24"/>
  <c r="Q61" i="24"/>
  <c r="M61" i="24" s="1"/>
  <c r="J61" i="24"/>
  <c r="R60" i="24"/>
  <c r="Q60" i="24"/>
  <c r="M60" i="24"/>
  <c r="J60" i="24"/>
  <c r="N60" i="24" s="1"/>
  <c r="N56" i="24"/>
  <c r="N55" i="24"/>
  <c r="N54" i="24"/>
  <c r="N57" i="24" s="1"/>
  <c r="R47" i="24"/>
  <c r="Q47" i="24"/>
  <c r="S47" i="24" s="1"/>
  <c r="J47" i="24"/>
  <c r="T47" i="24" s="1"/>
  <c r="S46" i="24"/>
  <c r="R46" i="24"/>
  <c r="Q46" i="24"/>
  <c r="J46" i="24"/>
  <c r="T46" i="24" s="1"/>
  <c r="S45" i="24"/>
  <c r="R45" i="24"/>
  <c r="Q45" i="24"/>
  <c r="J45" i="24"/>
  <c r="T45" i="24" s="1"/>
  <c r="R41" i="24"/>
  <c r="Q41" i="24"/>
  <c r="J41" i="24"/>
  <c r="R40" i="24"/>
  <c r="Q40" i="24"/>
  <c r="M40" i="24" s="1"/>
  <c r="J40" i="24"/>
  <c r="R39" i="24"/>
  <c r="Q39" i="24"/>
  <c r="M39" i="24"/>
  <c r="J39" i="24"/>
  <c r="N39" i="24" s="1"/>
  <c r="N35" i="24"/>
  <c r="N34" i="24"/>
  <c r="N33" i="24"/>
  <c r="N36" i="24" s="1"/>
  <c r="J25" i="24"/>
  <c r="T25" i="24" s="1"/>
  <c r="J26" i="24"/>
  <c r="T26" i="24" s="1"/>
  <c r="J24" i="24"/>
  <c r="T24" i="24" s="1"/>
  <c r="R26" i="24"/>
  <c r="Q26" i="24"/>
  <c r="S26" i="24" s="1"/>
  <c r="R25" i="24"/>
  <c r="Q25" i="24"/>
  <c r="S25" i="24" s="1"/>
  <c r="R24" i="24"/>
  <c r="Q24" i="24"/>
  <c r="S24" i="24" s="1"/>
  <c r="R20" i="24"/>
  <c r="Q20" i="24"/>
  <c r="M20" i="24" s="1"/>
  <c r="R19" i="24"/>
  <c r="Q19" i="24"/>
  <c r="R18" i="24"/>
  <c r="Q18" i="24"/>
  <c r="J19" i="24"/>
  <c r="J20" i="24"/>
  <c r="J18" i="24"/>
  <c r="N18" i="24" s="1"/>
  <c r="N13" i="24"/>
  <c r="N14" i="24"/>
  <c r="M18" i="24"/>
  <c r="I5" i="20"/>
  <c r="I7" i="20" s="1"/>
  <c r="M41" i="24" l="1"/>
  <c r="N41" i="24" s="1"/>
  <c r="M62" i="24"/>
  <c r="M24" i="24"/>
  <c r="N24" i="24" s="1"/>
  <c r="M47" i="24"/>
  <c r="N47" i="24" s="1"/>
  <c r="M66" i="24"/>
  <c r="N66" i="24" s="1"/>
  <c r="M67" i="24"/>
  <c r="N67" i="24" s="1"/>
  <c r="N62" i="24"/>
  <c r="M68" i="24"/>
  <c r="N68" i="24" s="1"/>
  <c r="M45" i="24"/>
  <c r="N45" i="24" s="1"/>
  <c r="M46" i="24"/>
  <c r="N46" i="24" s="1"/>
  <c r="N61" i="24"/>
  <c r="N63" i="24" s="1"/>
  <c r="N40" i="24"/>
  <c r="M25" i="24"/>
  <c r="N25" i="24" s="1"/>
  <c r="M26" i="24"/>
  <c r="N26" i="24" s="1"/>
  <c r="M19" i="24"/>
  <c r="N19" i="24" s="1"/>
  <c r="N20" i="24"/>
  <c r="G5" i="23"/>
  <c r="N42" i="24" l="1"/>
  <c r="N48" i="24"/>
  <c r="N69" i="24"/>
  <c r="N70" i="24" s="1"/>
  <c r="H6" i="24" s="1"/>
  <c r="N27" i="24"/>
  <c r="N21" i="24"/>
  <c r="H16" i="27"/>
  <c r="N49" i="24" l="1"/>
  <c r="E125" i="18"/>
  <c r="E124" i="18" s="1"/>
  <c r="E11" i="17" s="1"/>
  <c r="E103" i="18"/>
  <c r="E102" i="18" s="1"/>
  <c r="E37" i="18"/>
  <c r="E36" i="18" s="1"/>
  <c r="E6" i="17" s="1"/>
  <c r="F6" i="17" s="1"/>
  <c r="E18" i="18"/>
  <c r="E17" i="18" s="1"/>
  <c r="G62" i="22"/>
  <c r="G60" i="22"/>
  <c r="G44" i="22"/>
  <c r="G42" i="22"/>
  <c r="G57" i="22"/>
  <c r="G55" i="22"/>
  <c r="G53" i="22"/>
  <c r="G39" i="22"/>
  <c r="G37" i="22"/>
  <c r="G35" i="22"/>
  <c r="D49" i="19"/>
  <c r="I6" i="17" s="1"/>
  <c r="D37" i="19"/>
  <c r="G6" i="17" s="1"/>
  <c r="H6" i="17" s="1"/>
  <c r="H9" i="17" s="1"/>
  <c r="G13" i="14" s="1"/>
  <c r="D19" i="19"/>
  <c r="I5" i="17" s="1"/>
  <c r="J5" i="17" s="1"/>
  <c r="E13" i="18"/>
  <c r="C47" i="22"/>
  <c r="C29" i="22"/>
  <c r="C11" i="22"/>
  <c r="F21" i="14"/>
  <c r="F36" i="14"/>
  <c r="H20" i="27"/>
  <c r="H17" i="27"/>
  <c r="C20" i="27"/>
  <c r="C21" i="27"/>
  <c r="C22" i="27"/>
  <c r="C16" i="27"/>
  <c r="B20" i="27"/>
  <c r="B16" i="27"/>
  <c r="H8" i="27"/>
  <c r="I8" i="27" s="1"/>
  <c r="H9" i="27"/>
  <c r="I9" i="27" s="1"/>
  <c r="H7" i="27"/>
  <c r="I7" i="27" s="1"/>
  <c r="J7" i="27" s="1"/>
  <c r="B8" i="27"/>
  <c r="B9" i="27"/>
  <c r="B7" i="27"/>
  <c r="G13" i="23"/>
  <c r="G28" i="14" s="1"/>
  <c r="B18" i="23"/>
  <c r="B19" i="23"/>
  <c r="B17" i="23"/>
  <c r="F98" i="18"/>
  <c r="E120" i="18"/>
  <c r="C120" i="18"/>
  <c r="E98" i="18"/>
  <c r="C98" i="18"/>
  <c r="E3" i="18"/>
  <c r="C3" i="19" s="1"/>
  <c r="C6" i="22"/>
  <c r="C7" i="22"/>
  <c r="C5" i="22"/>
  <c r="B5" i="17"/>
  <c r="H23" i="27" l="1"/>
  <c r="J6" i="17"/>
  <c r="J9" i="17" s="1"/>
  <c r="G14" i="14" s="1"/>
  <c r="F9" i="17"/>
  <c r="G12" i="14" s="1"/>
  <c r="G17" i="14"/>
  <c r="J9" i="27"/>
  <c r="J8" i="27"/>
  <c r="F11" i="17"/>
  <c r="E10" i="17"/>
  <c r="F10" i="17" s="1"/>
  <c r="F13" i="17" s="1"/>
  <c r="G16" i="14" l="1"/>
  <c r="H24" i="27"/>
  <c r="G35" i="14" s="1"/>
  <c r="G18" i="14"/>
  <c r="J10" i="27"/>
  <c r="J11" i="27" l="1"/>
  <c r="G34" i="14" s="1"/>
  <c r="G36" i="14" s="1"/>
  <c r="M76" i="24"/>
  <c r="M78" i="24"/>
  <c r="M77" i="24"/>
  <c r="E5" i="24"/>
  <c r="E6" i="24"/>
  <c r="E4" i="24"/>
  <c r="B5" i="24"/>
  <c r="C30" i="24" s="1"/>
  <c r="B6" i="24"/>
  <c r="C51" i="24" s="1"/>
  <c r="B4" i="24"/>
  <c r="O9" i="24"/>
  <c r="N9" i="24"/>
  <c r="K3" i="22"/>
  <c r="K2" i="22" s="1"/>
  <c r="D17" i="20"/>
  <c r="D15" i="20"/>
  <c r="D5" i="20"/>
  <c r="D5" i="17"/>
  <c r="E18" i="23"/>
  <c r="F18" i="23" s="1"/>
  <c r="E19" i="23"/>
  <c r="F19" i="23" s="1"/>
  <c r="E17" i="23"/>
  <c r="F17" i="23" s="1"/>
  <c r="G6" i="23"/>
  <c r="G7" i="23"/>
  <c r="G27" i="14" s="1"/>
  <c r="G6" i="22"/>
  <c r="G7" i="22"/>
  <c r="G5" i="22"/>
  <c r="G26" i="22"/>
  <c r="G24" i="22"/>
  <c r="G21" i="22"/>
  <c r="G19" i="22"/>
  <c r="G17" i="22"/>
  <c r="I17" i="20"/>
  <c r="I15" i="20"/>
  <c r="F30" i="14"/>
  <c r="F33" i="14"/>
  <c r="F10" i="14"/>
  <c r="F16" i="14"/>
  <c r="I19" i="20" l="1"/>
  <c r="G19" i="14" s="1"/>
  <c r="G21" i="14" s="1"/>
  <c r="F25" i="14"/>
  <c r="F37" i="14" s="1"/>
  <c r="G17" i="23"/>
  <c r="G29" i="14" s="1"/>
  <c r="G30" i="14" s="1"/>
  <c r="N19" i="22"/>
  <c r="N24" i="22"/>
  <c r="D78" i="24"/>
  <c r="O78" i="24" s="1"/>
  <c r="D76" i="24"/>
  <c r="O76" i="24" s="1"/>
  <c r="D77" i="24"/>
  <c r="O77" i="24" s="1"/>
  <c r="M17" i="22"/>
  <c r="M55" i="22"/>
  <c r="M53" i="22"/>
  <c r="M37" i="22"/>
  <c r="M26" i="22"/>
  <c r="M21" i="22"/>
  <c r="M24" i="22"/>
  <c r="M19" i="22"/>
  <c r="M57" i="22"/>
  <c r="M39" i="22"/>
  <c r="M35" i="22"/>
  <c r="N17" i="22"/>
  <c r="N21" i="22"/>
  <c r="N26" i="22"/>
  <c r="N35" i="22"/>
  <c r="N37" i="22"/>
  <c r="N39" i="22"/>
  <c r="N53" i="22"/>
  <c r="N55" i="22"/>
  <c r="N57" i="22"/>
  <c r="B77" i="24"/>
  <c r="B78" i="24"/>
  <c r="B76" i="24"/>
  <c r="C9" i="24"/>
  <c r="M62" i="22"/>
  <c r="M60" i="22"/>
  <c r="M44" i="22"/>
  <c r="M42" i="22"/>
  <c r="N42" i="22"/>
  <c r="N62" i="22"/>
  <c r="N60" i="22"/>
  <c r="N44" i="22"/>
  <c r="G7" i="14"/>
  <c r="G6" i="14"/>
  <c r="E5" i="17"/>
  <c r="I19" i="22" l="1"/>
  <c r="J18" i="22" s="1"/>
  <c r="F5" i="17"/>
  <c r="G5" i="14" s="1"/>
  <c r="G10" i="14" s="1"/>
  <c r="G25" i="14" s="1"/>
  <c r="I17" i="22"/>
  <c r="J16" i="22" s="1"/>
  <c r="I24" i="22"/>
  <c r="J23" i="22" s="1"/>
  <c r="I26" i="22"/>
  <c r="J25" i="22" s="1"/>
  <c r="I57" i="22"/>
  <c r="J56" i="22" s="1"/>
  <c r="I53" i="22"/>
  <c r="J52" i="22" s="1"/>
  <c r="I39" i="22"/>
  <c r="J38" i="22" s="1"/>
  <c r="I21" i="22"/>
  <c r="J20" i="22" s="1"/>
  <c r="I37" i="22"/>
  <c r="J36" i="22" s="1"/>
  <c r="I35" i="22"/>
  <c r="J34" i="22" s="1"/>
  <c r="I55" i="22"/>
  <c r="J54" i="22" s="1"/>
  <c r="I44" i="22"/>
  <c r="J43" i="22" s="1"/>
  <c r="I62" i="22"/>
  <c r="J61" i="22" s="1"/>
  <c r="I42" i="22"/>
  <c r="J41" i="22" s="1"/>
  <c r="I60" i="22"/>
  <c r="J59" i="22" s="1"/>
  <c r="O79" i="24"/>
  <c r="O80" i="24" s="1"/>
  <c r="G32" i="14" s="1"/>
  <c r="N15" i="24"/>
  <c r="J15" i="22" l="1"/>
  <c r="J22" i="22"/>
  <c r="J58" i="22"/>
  <c r="J51" i="22"/>
  <c r="J33" i="22"/>
  <c r="J40" i="22"/>
  <c r="N28" i="24"/>
  <c r="H4" i="24" s="1"/>
  <c r="I4" i="24" s="1"/>
  <c r="I6" i="24"/>
  <c r="H5" i="24"/>
  <c r="I5" i="24" s="1"/>
  <c r="J14" i="22" l="1"/>
  <c r="D5" i="22" s="1"/>
  <c r="H5" i="22" s="1"/>
  <c r="J50" i="22"/>
  <c r="D7" i="22" s="1"/>
  <c r="H7" i="22" s="1"/>
  <c r="J32" i="22"/>
  <c r="D6" i="22" s="1"/>
  <c r="H6" i="22" s="1"/>
  <c r="I7" i="24"/>
  <c r="H8" i="22" l="1"/>
  <c r="I8" i="22" s="1"/>
  <c r="J8" i="22" s="1"/>
  <c r="G26" i="14" s="1"/>
  <c r="G31" i="14"/>
  <c r="G33" i="14" s="1"/>
  <c r="K7" i="24"/>
  <c r="G37" i="14" l="1"/>
</calcChain>
</file>

<file path=xl/comments1.xml><?xml version="1.0" encoding="utf-8"?>
<comments xmlns="http://schemas.openxmlformats.org/spreadsheetml/2006/main">
  <authors>
    <author>user</author>
  </authors>
  <commentList>
    <comment ref="F12" authorId="0" shapeId="0">
      <text>
        <r>
          <rPr>
            <b/>
            <sz val="11"/>
            <color indexed="81"/>
            <rFont val="돋움"/>
            <family val="3"/>
            <charset val="129"/>
          </rPr>
          <t>본인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명의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확인용임
명의자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다수시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해당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회사명만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기재</t>
        </r>
      </text>
    </comment>
    <comment ref="F33" authorId="0" shapeId="0">
      <text>
        <r>
          <rPr>
            <b/>
            <sz val="11"/>
            <color indexed="81"/>
            <rFont val="돋움"/>
            <family val="3"/>
            <charset val="129"/>
          </rPr>
          <t>본인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명의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확인용임
명의자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다수시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해당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회사명만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기재</t>
        </r>
      </text>
    </comment>
    <comment ref="F54" authorId="0" shapeId="0">
      <text>
        <r>
          <rPr>
            <b/>
            <sz val="11"/>
            <color indexed="81"/>
            <rFont val="돋움"/>
            <family val="3"/>
            <charset val="129"/>
          </rPr>
          <t>본인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명의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확인용임
명의자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다수시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해당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회사명만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<sst xmlns="http://schemas.openxmlformats.org/spreadsheetml/2006/main" count="1605" uniqueCount="569">
  <si>
    <t>참여업체 현황</t>
    <phoneticPr fontId="2" type="noConversion"/>
  </si>
  <si>
    <t>신용도</t>
    <phoneticPr fontId="2" type="noConversion"/>
  </si>
  <si>
    <t>기술사</t>
  </si>
  <si>
    <t>계</t>
    <phoneticPr fontId="8" type="noConversion"/>
  </si>
  <si>
    <t>합계</t>
    <phoneticPr fontId="8" type="noConversion"/>
  </si>
  <si>
    <t>총00건</t>
    <phoneticPr fontId="8" type="noConversion"/>
  </si>
  <si>
    <t>09.10.10~12.10.09</t>
    <phoneticPr fontId="8" type="noConversion"/>
  </si>
  <si>
    <t>94.10.10~09.10.09</t>
    <phoneticPr fontId="8" type="noConversion"/>
  </si>
  <si>
    <t>항목</t>
    <phoneticPr fontId="8" type="noConversion"/>
  </si>
  <si>
    <t>세부항목</t>
    <phoneticPr fontId="8" type="noConversion"/>
  </si>
  <si>
    <t>평가내용</t>
    <phoneticPr fontId="8" type="noConversion"/>
  </si>
  <si>
    <t>배점</t>
    <phoneticPr fontId="8" type="noConversion"/>
  </si>
  <si>
    <t>평점</t>
    <phoneticPr fontId="8" type="noConversion"/>
  </si>
  <si>
    <t>비고</t>
    <phoneticPr fontId="8" type="noConversion"/>
  </si>
  <si>
    <t>(가)등급</t>
    <phoneticPr fontId="8" type="noConversion"/>
  </si>
  <si>
    <t>적.부</t>
    <phoneticPr fontId="8" type="noConversion"/>
  </si>
  <si>
    <t>(나)해당분야경력</t>
    <phoneticPr fontId="8" type="noConversion"/>
  </si>
  <si>
    <t>해당분야100%,
그외60%</t>
    <phoneticPr fontId="8" type="noConversion"/>
  </si>
  <si>
    <t>(다)직무분야실적</t>
    <phoneticPr fontId="8" type="noConversion"/>
  </si>
  <si>
    <t>설계</t>
    <phoneticPr fontId="8" type="noConversion"/>
  </si>
  <si>
    <t>시공 등</t>
    <phoneticPr fontId="8" type="noConversion"/>
  </si>
  <si>
    <t>(라)교육훈련</t>
    <phoneticPr fontId="8" type="noConversion"/>
  </si>
  <si>
    <t>교육훈련</t>
    <phoneticPr fontId="8" type="noConversion"/>
  </si>
  <si>
    <t>소계</t>
    <phoneticPr fontId="8" type="noConversion"/>
  </si>
  <si>
    <t>업체별 수행실적금액 합산하여 평가
(최근 3년간)</t>
    <phoneticPr fontId="8" type="noConversion"/>
  </si>
  <si>
    <t>다. 신용도
[15]</t>
    <phoneticPr fontId="8" type="noConversion"/>
  </si>
  <si>
    <t>(1)입찰
참가
제한
업무정지</t>
    <phoneticPr fontId="8" type="noConversion"/>
  </si>
  <si>
    <t>(2)부실
벌점</t>
    <phoneticPr fontId="8" type="noConversion"/>
  </si>
  <si>
    <t>(3)재정
상태
건실도</t>
    <phoneticPr fontId="8" type="noConversion"/>
  </si>
  <si>
    <t>(1)개발
실적</t>
    <phoneticPr fontId="8" type="noConversion"/>
  </si>
  <si>
    <t>(2)투자
실적</t>
    <phoneticPr fontId="8" type="noConversion"/>
  </si>
  <si>
    <t>3년간 
기술개발투자실적/건설부문총매출액</t>
    <phoneticPr fontId="8" type="noConversion"/>
  </si>
  <si>
    <t>바. 교체
빈도</t>
    <phoneticPr fontId="8" type="noConversion"/>
  </si>
  <si>
    <t>구분</t>
    <phoneticPr fontId="2" type="noConversion"/>
  </si>
  <si>
    <t>분야
(등급)</t>
    <phoneticPr fontId="2" type="noConversion"/>
  </si>
  <si>
    <t>성명</t>
    <phoneticPr fontId="2" type="noConversion"/>
  </si>
  <si>
    <t>기술
자격명</t>
    <phoneticPr fontId="2" type="noConversion"/>
  </si>
  <si>
    <t>학력</t>
    <phoneticPr fontId="8" type="noConversion"/>
  </si>
  <si>
    <t>소속</t>
    <phoneticPr fontId="8" type="noConversion"/>
  </si>
  <si>
    <t>최종학력
(학위)</t>
    <phoneticPr fontId="8" type="noConversion"/>
  </si>
  <si>
    <t>졸업/
취득일</t>
    <phoneticPr fontId="8" type="noConversion"/>
  </si>
  <si>
    <t>해당분야 경력(년)</t>
    <phoneticPr fontId="8" type="noConversion"/>
  </si>
  <si>
    <t>직무분야실적(년)</t>
    <phoneticPr fontId="8" type="noConversion"/>
  </si>
  <si>
    <t>점수</t>
    <phoneticPr fontId="8" type="noConversion"/>
  </si>
  <si>
    <t>설계 등(년)</t>
    <phoneticPr fontId="8" type="noConversion"/>
  </si>
  <si>
    <t>시공 등(년)</t>
    <phoneticPr fontId="8" type="noConversion"/>
  </si>
  <si>
    <t>사업명</t>
    <phoneticPr fontId="8" type="noConversion"/>
  </si>
  <si>
    <t>실적</t>
    <phoneticPr fontId="8" type="noConversion"/>
  </si>
  <si>
    <t>참여당시</t>
    <phoneticPr fontId="8" type="noConversion"/>
  </si>
  <si>
    <t>발주처</t>
    <phoneticPr fontId="8" type="noConversion"/>
  </si>
  <si>
    <t>(일수)</t>
    <phoneticPr fontId="8" type="noConversion"/>
  </si>
  <si>
    <t>소속회사</t>
    <phoneticPr fontId="8" type="noConversion"/>
  </si>
  <si>
    <t>직위</t>
    <phoneticPr fontId="8" type="noConversion"/>
  </si>
  <si>
    <t>가. 교육훈련</t>
    <phoneticPr fontId="8" type="noConversion"/>
  </si>
  <si>
    <t>교육과정명</t>
    <phoneticPr fontId="2" type="noConversion"/>
  </si>
  <si>
    <t>교육기관</t>
    <phoneticPr fontId="2" type="noConversion"/>
  </si>
  <si>
    <t>교육기간</t>
    <phoneticPr fontId="8" type="noConversion"/>
  </si>
  <si>
    <t>건설기술교육원</t>
    <phoneticPr fontId="8" type="noConversion"/>
  </si>
  <si>
    <t>11.11.11~ 11.11.16</t>
    <phoneticPr fontId="8" type="noConversion"/>
  </si>
  <si>
    <t>구분</t>
    <phoneticPr fontId="8" type="noConversion"/>
  </si>
  <si>
    <t>기술사</t>
    <phoneticPr fontId="8" type="noConversion"/>
  </si>
  <si>
    <t>기사</t>
    <phoneticPr fontId="8" type="noConversion"/>
  </si>
  <si>
    <t>산업기사</t>
    <phoneticPr fontId="8" type="noConversion"/>
  </si>
  <si>
    <t>점수</t>
    <phoneticPr fontId="8" type="noConversion"/>
  </si>
  <si>
    <t>-</t>
  </si>
  <si>
    <t>용역명</t>
    <phoneticPr fontId="8" type="noConversion"/>
  </si>
  <si>
    <t>전체사업기간(일)
(C )</t>
    <phoneticPr fontId="8" type="noConversion"/>
  </si>
  <si>
    <t>해당기간
(일)</t>
    <phoneticPr fontId="8" type="noConversion"/>
  </si>
  <si>
    <t>시작</t>
    <phoneticPr fontId="8" type="noConversion"/>
  </si>
  <si>
    <t>종료</t>
    <phoneticPr fontId="8" type="noConversion"/>
  </si>
  <si>
    <t>(B)</t>
    <phoneticPr fontId="8" type="noConversion"/>
  </si>
  <si>
    <t>(A)</t>
    <phoneticPr fontId="8" type="noConversion"/>
  </si>
  <si>
    <t>준공(계약)
금액(천원)</t>
    <phoneticPr fontId="8" type="noConversion"/>
  </si>
  <si>
    <t>해당
분야</t>
    <phoneticPr fontId="8" type="noConversion"/>
  </si>
  <si>
    <t>비고</t>
    <phoneticPr fontId="8" type="noConversion"/>
  </si>
  <si>
    <t>00공사</t>
    <phoneticPr fontId="8" type="noConversion"/>
  </si>
  <si>
    <t>00시</t>
    <phoneticPr fontId="8" type="noConversion"/>
  </si>
  <si>
    <t>산정시작 앞</t>
    <phoneticPr fontId="8" type="noConversion"/>
  </si>
  <si>
    <t>공고일 뒤</t>
    <phoneticPr fontId="8" type="noConversion"/>
  </si>
  <si>
    <t>계</t>
    <phoneticPr fontId="8" type="noConversion"/>
  </si>
  <si>
    <t>구분</t>
    <phoneticPr fontId="8" type="noConversion"/>
  </si>
  <si>
    <t>업체명</t>
    <phoneticPr fontId="8" type="noConversion"/>
  </si>
  <si>
    <t>적용금액
(A, 천원)</t>
    <phoneticPr fontId="8" type="noConversion"/>
  </si>
  <si>
    <t>참여지분율
(B, %)</t>
    <phoneticPr fontId="8" type="noConversion"/>
  </si>
  <si>
    <t>용역명</t>
    <phoneticPr fontId="8" type="noConversion"/>
  </si>
  <si>
    <t>발주처</t>
    <phoneticPr fontId="8" type="noConversion"/>
  </si>
  <si>
    <t>준공(계약)
금액(천원)</t>
    <phoneticPr fontId="8" type="noConversion"/>
  </si>
  <si>
    <t>전체사업기간(일)
(C )</t>
    <phoneticPr fontId="8" type="noConversion"/>
  </si>
  <si>
    <t>해당기간
(일)</t>
    <phoneticPr fontId="8" type="noConversion"/>
  </si>
  <si>
    <t>비고</t>
    <phoneticPr fontId="8" type="noConversion"/>
  </si>
  <si>
    <t>(A)</t>
    <phoneticPr fontId="8" type="noConversion"/>
  </si>
  <si>
    <t>(B)</t>
    <phoneticPr fontId="8" type="noConversion"/>
  </si>
  <si>
    <t>시작</t>
    <phoneticPr fontId="8" type="noConversion"/>
  </si>
  <si>
    <t>종료</t>
    <phoneticPr fontId="8" type="noConversion"/>
  </si>
  <si>
    <t>적용금액
(천원)</t>
    <phoneticPr fontId="8" type="noConversion"/>
  </si>
  <si>
    <t>(D)</t>
    <phoneticPr fontId="8" type="noConversion"/>
  </si>
  <si>
    <t>(A×B×D/C)</t>
    <phoneticPr fontId="8" type="noConversion"/>
  </si>
  <si>
    <t>진행</t>
    <phoneticPr fontId="8" type="noConversion"/>
  </si>
  <si>
    <t>완료</t>
    <phoneticPr fontId="8" type="noConversion"/>
  </si>
  <si>
    <t>회사명</t>
    <phoneticPr fontId="8" type="noConversion"/>
  </si>
  <si>
    <t>회사명
(또는 성명)</t>
    <phoneticPr fontId="8" type="noConversion"/>
  </si>
  <si>
    <t>기간(월)</t>
    <phoneticPr fontId="8" type="noConversion"/>
  </si>
  <si>
    <t>조치기관명</t>
    <phoneticPr fontId="8" type="noConversion"/>
  </si>
  <si>
    <t>사유요약</t>
    <phoneticPr fontId="8" type="noConversion"/>
  </si>
  <si>
    <t>점수</t>
    <phoneticPr fontId="8" type="noConversion"/>
  </si>
  <si>
    <t>00엔지니어링</t>
    <phoneticPr fontId="8" type="noConversion"/>
  </si>
  <si>
    <t>2014.01.01~2014.03.01</t>
    <phoneticPr fontId="8" type="noConversion"/>
  </si>
  <si>
    <t>00시</t>
    <phoneticPr fontId="8" type="noConversion"/>
  </si>
  <si>
    <t>나. 부실벌점</t>
    <phoneticPr fontId="8" type="noConversion"/>
  </si>
  <si>
    <t>부실벌점</t>
    <phoneticPr fontId="8" type="noConversion"/>
  </si>
  <si>
    <t>사유</t>
    <phoneticPr fontId="8" type="noConversion"/>
  </si>
  <si>
    <t>점 수</t>
  </si>
  <si>
    <t>기업 신용평가등급</t>
  </si>
  <si>
    <t>AAA</t>
  </si>
  <si>
    <t>A1</t>
  </si>
  <si>
    <t>(회사채에 대한 신용평가등급 AA＋, AA0, AA-에 준하는 등급)</t>
  </si>
  <si>
    <t>A+</t>
  </si>
  <si>
    <t>A2+</t>
  </si>
  <si>
    <t>(회사채에 대한 신용평가등급 A＋에 준하는 등급)</t>
  </si>
  <si>
    <t>A0</t>
  </si>
  <si>
    <t>A20</t>
  </si>
  <si>
    <t>(회사채에 대한 신용평가등급 A0에 준하는 등급)</t>
  </si>
  <si>
    <t>A-</t>
  </si>
  <si>
    <t>A2-</t>
  </si>
  <si>
    <t>(회사채에 대한 신용평가등급 A-에 준하는 등급)</t>
  </si>
  <si>
    <t>BBB+</t>
  </si>
  <si>
    <t>A3+</t>
  </si>
  <si>
    <t>(회사채에 대한 신용평가등급 BBB＋에 준하는 등급)</t>
  </si>
  <si>
    <t>BBB0</t>
  </si>
  <si>
    <t>A30</t>
  </si>
  <si>
    <t>(회사채에 대한 신용평가등급 BBB0에 준하는 등급)</t>
  </si>
  <si>
    <t>BBB-</t>
  </si>
  <si>
    <t>A3-</t>
  </si>
  <si>
    <t>(회사채에 대한 신용평가등급 BBB-에 준하는 등급)</t>
  </si>
  <si>
    <t>BB+, BB0</t>
  </si>
  <si>
    <t>B+</t>
  </si>
  <si>
    <t>(회사채에 대한 신용평가등급 BB＋, BB0에 준하는 등급)</t>
  </si>
  <si>
    <t>BB-</t>
  </si>
  <si>
    <t>B0</t>
  </si>
  <si>
    <t>(회사채에 대한 신용평가등급 BB-에 준하는 등급)</t>
  </si>
  <si>
    <t>B+, B0, B-</t>
  </si>
  <si>
    <t>B-</t>
  </si>
  <si>
    <t>(회사채에 대한 신용평가등급 B＋, B0, B-에 준하는 등급)</t>
  </si>
  <si>
    <t>CCC+이하</t>
  </si>
  <si>
    <t>C 이하</t>
  </si>
  <si>
    <t>(회사채에 대한 신용평가등급 CCC＋ 이하에 준하는 등급)</t>
  </si>
  <si>
    <t>회사채의
신용평가등급</t>
    <phoneticPr fontId="8" type="noConversion"/>
  </si>
  <si>
    <t>기업어음의
신용평가등급</t>
    <phoneticPr fontId="8" type="noConversion"/>
  </si>
  <si>
    <t xml:space="preserve">(회사채에 대한 신용평가등급
AAA에 준하는 등급) </t>
    <phoneticPr fontId="8" type="noConversion"/>
  </si>
  <si>
    <t>다. 재정상태건실도</t>
    <phoneticPr fontId="8" type="noConversion"/>
  </si>
  <si>
    <t>신용평가등급</t>
    <phoneticPr fontId="8" type="noConversion"/>
  </si>
  <si>
    <t>지분율
(B, %)</t>
    <phoneticPr fontId="8" type="noConversion"/>
  </si>
  <si>
    <t>환산점수
(A×B)</t>
    <phoneticPr fontId="8" type="noConversion"/>
  </si>
  <si>
    <t>평가합계</t>
    <phoneticPr fontId="8" type="noConversion"/>
  </si>
  <si>
    <t>홍길일</t>
    <phoneticPr fontId="8" type="noConversion"/>
  </si>
  <si>
    <t>홍길이</t>
    <phoneticPr fontId="8" type="noConversion"/>
  </si>
  <si>
    <t>홍길오</t>
    <phoneticPr fontId="8" type="noConversion"/>
  </si>
  <si>
    <t>기술개발 및 투자실적</t>
    <phoneticPr fontId="2" type="noConversion"/>
  </si>
  <si>
    <t>특허</t>
    <phoneticPr fontId="8" type="noConversion"/>
  </si>
  <si>
    <t>공고일</t>
    <phoneticPr fontId="2" type="noConversion"/>
  </si>
  <si>
    <t>5이상</t>
    <phoneticPr fontId="8" type="noConversion"/>
  </si>
  <si>
    <t>5미만
4이상</t>
    <phoneticPr fontId="8" type="noConversion"/>
  </si>
  <si>
    <t>4미만
3이상</t>
    <phoneticPr fontId="8" type="noConversion"/>
  </si>
  <si>
    <t>3미만
2이상</t>
    <phoneticPr fontId="8" type="noConversion"/>
  </si>
  <si>
    <t>20이상</t>
    <phoneticPr fontId="8" type="noConversion"/>
  </si>
  <si>
    <t>20미만</t>
    <phoneticPr fontId="8" type="noConversion"/>
  </si>
  <si>
    <t>18미만
16이상</t>
    <phoneticPr fontId="8" type="noConversion"/>
  </si>
  <si>
    <t>16미만
14이상</t>
    <phoneticPr fontId="8" type="noConversion"/>
  </si>
  <si>
    <t>14미만
12이상</t>
    <phoneticPr fontId="8" type="noConversion"/>
  </si>
  <si>
    <t>건수</t>
    <phoneticPr fontId="8" type="noConversion"/>
  </si>
  <si>
    <t>금액</t>
    <phoneticPr fontId="8" type="noConversion"/>
  </si>
  <si>
    <t>신기술</t>
    <phoneticPr fontId="8" type="noConversion"/>
  </si>
  <si>
    <t>5년미만</t>
    <phoneticPr fontId="8" type="noConversion"/>
  </si>
  <si>
    <t>5년이상
10년미만</t>
    <phoneticPr fontId="8" type="noConversion"/>
  </si>
  <si>
    <t>10년이상
20년미만</t>
    <phoneticPr fontId="8" type="noConversion"/>
  </si>
  <si>
    <t>실적
(건)</t>
    <phoneticPr fontId="8" type="noConversion"/>
  </si>
  <si>
    <t>가. 개발실적</t>
    <phoneticPr fontId="8" type="noConversion"/>
  </si>
  <si>
    <t>2미만
1이상</t>
    <phoneticPr fontId="8" type="noConversion"/>
  </si>
  <si>
    <t>나이</t>
    <phoneticPr fontId="8" type="noConversion"/>
  </si>
  <si>
    <t>(만 00세)</t>
    <phoneticPr fontId="8" type="noConversion"/>
  </si>
  <si>
    <t>실적금액
(억원)</t>
    <phoneticPr fontId="8" type="noConversion"/>
  </si>
  <si>
    <t>실용신안</t>
    <phoneticPr fontId="8" type="noConversion"/>
  </si>
  <si>
    <t>나. 투자실적</t>
    <phoneticPr fontId="8" type="noConversion"/>
  </si>
  <si>
    <t>(단위:</t>
    <phoneticPr fontId="8" type="noConversion"/>
  </si>
  <si>
    <t>백만원)</t>
    <phoneticPr fontId="8" type="noConversion"/>
  </si>
  <si>
    <t>나. 유사
용역
수행실적
[10]</t>
    <phoneticPr fontId="8" type="noConversion"/>
  </si>
  <si>
    <t>라. 기술
개발
및 투자
실적
[10]</t>
    <phoneticPr fontId="8" type="noConversion"/>
  </si>
  <si>
    <t>-</t>
    <phoneticPr fontId="8" type="noConversion"/>
  </si>
  <si>
    <t>-</t>
    <phoneticPr fontId="8" type="noConversion"/>
  </si>
  <si>
    <t>합계</t>
    <phoneticPr fontId="8" type="noConversion"/>
  </si>
  <si>
    <t>경력사항</t>
    <phoneticPr fontId="8" type="noConversion"/>
  </si>
  <si>
    <t>사업명</t>
    <phoneticPr fontId="8" type="noConversion"/>
  </si>
  <si>
    <t>참여당시</t>
    <phoneticPr fontId="8" type="noConversion"/>
  </si>
  <si>
    <t>발주처</t>
    <phoneticPr fontId="8" type="noConversion"/>
  </si>
  <si>
    <t>(참여기간)</t>
    <phoneticPr fontId="8" type="noConversion"/>
  </si>
  <si>
    <t>(일수)</t>
    <phoneticPr fontId="8" type="noConversion"/>
  </si>
  <si>
    <t>소속회사</t>
    <phoneticPr fontId="8" type="noConversion"/>
  </si>
  <si>
    <t>등급</t>
    <phoneticPr fontId="8" type="noConversion"/>
  </si>
  <si>
    <t>직위</t>
    <phoneticPr fontId="8" type="noConversion"/>
  </si>
  <si>
    <t>업 체 명</t>
    <phoneticPr fontId="2" type="noConversion"/>
  </si>
  <si>
    <t>주    소</t>
    <phoneticPr fontId="2" type="noConversion"/>
  </si>
  <si>
    <t>대표자</t>
    <phoneticPr fontId="2" type="noConversion"/>
  </si>
  <si>
    <t>지분율
(%)</t>
    <phoneticPr fontId="2" type="noConversion"/>
  </si>
  <si>
    <t>자기 평가서</t>
    <phoneticPr fontId="2" type="noConversion"/>
  </si>
  <si>
    <t>교육훈련</t>
    <phoneticPr fontId="8" type="noConversion"/>
  </si>
  <si>
    <t>94.10.10~09.10.09</t>
    <phoneticPr fontId="8" type="noConversion"/>
  </si>
  <si>
    <t>합계</t>
    <phoneticPr fontId="8" type="noConversion"/>
  </si>
  <si>
    <t>○</t>
    <phoneticPr fontId="8" type="noConversion"/>
  </si>
  <si>
    <t>○</t>
    <phoneticPr fontId="8" type="noConversion"/>
  </si>
  <si>
    <t>수행실적
(A×B, 천원)</t>
    <phoneticPr fontId="8" type="noConversion"/>
  </si>
  <si>
    <t>수행실적
(억원)</t>
    <phoneticPr fontId="8" type="noConversion"/>
  </si>
  <si>
    <t>평가점수</t>
    <phoneticPr fontId="8" type="noConversion"/>
  </si>
  <si>
    <t>합계</t>
    <phoneticPr fontId="8" type="noConversion"/>
  </si>
  <si>
    <t>업체명</t>
    <phoneticPr fontId="8" type="noConversion"/>
  </si>
  <si>
    <t>참여지분율</t>
    <phoneticPr fontId="8" type="noConversion"/>
  </si>
  <si>
    <t>각업체별
점수</t>
    <phoneticPr fontId="8" type="noConversion"/>
  </si>
  <si>
    <t>적용점수</t>
    <phoneticPr fontId="8" type="noConversion"/>
  </si>
  <si>
    <t>비고</t>
    <phoneticPr fontId="8" type="noConversion"/>
  </si>
  <si>
    <t>구분</t>
    <phoneticPr fontId="8" type="noConversion"/>
  </si>
  <si>
    <t>연번</t>
    <phoneticPr fontId="8" type="noConversion"/>
  </si>
  <si>
    <t>명칭</t>
    <phoneticPr fontId="8" type="noConversion"/>
  </si>
  <si>
    <t>지정번호</t>
    <phoneticPr fontId="8" type="noConversion"/>
  </si>
  <si>
    <t>출원자
수</t>
    <phoneticPr fontId="8" type="noConversion"/>
  </si>
  <si>
    <t>경과기간</t>
    <phoneticPr fontId="8" type="noConversion"/>
  </si>
  <si>
    <t>000-00</t>
    <phoneticPr fontId="8" type="noConversion"/>
  </si>
  <si>
    <t>소계</t>
    <phoneticPr fontId="8" type="noConversion"/>
  </si>
  <si>
    <t>가중치</t>
    <phoneticPr fontId="8" type="noConversion"/>
  </si>
  <si>
    <t>(시작)</t>
    <phoneticPr fontId="8" type="noConversion"/>
  </si>
  <si>
    <t>(종료)</t>
    <phoneticPr fontId="8" type="noConversion"/>
  </si>
  <si>
    <t>(년)</t>
    <phoneticPr fontId="8" type="noConversion"/>
  </si>
  <si>
    <t>(건)</t>
    <phoneticPr fontId="8" type="noConversion"/>
  </si>
  <si>
    <t>(금액,억원)</t>
    <phoneticPr fontId="8" type="noConversion"/>
  </si>
  <si>
    <t>1년차</t>
    <phoneticPr fontId="8" type="noConversion"/>
  </si>
  <si>
    <t>2년차</t>
    <phoneticPr fontId="8" type="noConversion"/>
  </si>
  <si>
    <t>3년차</t>
    <phoneticPr fontId="8" type="noConversion"/>
  </si>
  <si>
    <t>(A1+A2+A3)
/(B1+B2+B3)</t>
    <phoneticPr fontId="8" type="noConversion"/>
  </si>
  <si>
    <t>A1</t>
    <phoneticPr fontId="8" type="noConversion"/>
  </si>
  <si>
    <t>B1</t>
    <phoneticPr fontId="8" type="noConversion"/>
  </si>
  <si>
    <t>A2</t>
    <phoneticPr fontId="8" type="noConversion"/>
  </si>
  <si>
    <t>B2</t>
    <phoneticPr fontId="8" type="noConversion"/>
  </si>
  <si>
    <t>A3</t>
    <phoneticPr fontId="8" type="noConversion"/>
  </si>
  <si>
    <t>B3</t>
    <phoneticPr fontId="8" type="noConversion"/>
  </si>
  <si>
    <t>사용실적</t>
    <phoneticPr fontId="8" type="noConversion"/>
  </si>
  <si>
    <t>업체명</t>
    <phoneticPr fontId="8" type="noConversion"/>
  </si>
  <si>
    <t>교체건수</t>
    <phoneticPr fontId="8" type="noConversion"/>
  </si>
  <si>
    <t>교체빈도율
(%)</t>
    <phoneticPr fontId="8" type="noConversion"/>
  </si>
  <si>
    <t>환산(5건→1건)</t>
    <phoneticPr fontId="8" type="noConversion"/>
  </si>
  <si>
    <t>성명</t>
    <phoneticPr fontId="8" type="noConversion"/>
  </si>
  <si>
    <t>용역명</t>
    <phoneticPr fontId="8" type="noConversion"/>
  </si>
  <si>
    <t>발주기관</t>
    <phoneticPr fontId="8" type="noConversion"/>
  </si>
  <si>
    <t>참여구분
(상주,기술지원)</t>
    <phoneticPr fontId="8" type="noConversion"/>
  </si>
  <si>
    <t>감점</t>
    <phoneticPr fontId="8" type="noConversion"/>
  </si>
  <si>
    <t>00시</t>
    <phoneticPr fontId="8" type="noConversion"/>
  </si>
  <si>
    <t>A사</t>
    <phoneticPr fontId="2" type="noConversion"/>
  </si>
  <si>
    <t>00시00동00번지</t>
    <phoneticPr fontId="2" type="noConversion"/>
  </si>
  <si>
    <t>홍길동</t>
    <phoneticPr fontId="2" type="noConversion"/>
  </si>
  <si>
    <t>o</t>
    <phoneticPr fontId="2" type="noConversion"/>
  </si>
  <si>
    <t>B사</t>
    <phoneticPr fontId="2" type="noConversion"/>
  </si>
  <si>
    <t>홍삼둥</t>
    <phoneticPr fontId="2" type="noConversion"/>
  </si>
  <si>
    <t>C사</t>
    <phoneticPr fontId="2" type="noConversion"/>
  </si>
  <si>
    <t>홍사덩</t>
    <phoneticPr fontId="2" type="noConversion"/>
  </si>
  <si>
    <t>회사채</t>
    <phoneticPr fontId="8" type="noConversion"/>
  </si>
  <si>
    <t>※ 작성유의사항</t>
    <phoneticPr fontId="2" type="noConversion"/>
  </si>
  <si>
    <t>00-00-00</t>
    <phoneticPr fontId="8" type="noConversion"/>
  </si>
  <si>
    <t>00엔지니어링</t>
    <phoneticPr fontId="8" type="noConversion"/>
  </si>
  <si>
    <t>00엔지니어링</t>
    <phoneticPr fontId="8" type="noConversion"/>
  </si>
  <si>
    <t>과장</t>
    <phoneticPr fontId="8" type="noConversion"/>
  </si>
  <si>
    <t>00시</t>
    <phoneticPr fontId="8" type="noConversion"/>
  </si>
  <si>
    <t>○</t>
    <phoneticPr fontId="8" type="noConversion"/>
  </si>
  <si>
    <t>가점</t>
    <phoneticPr fontId="8" type="noConversion"/>
  </si>
  <si>
    <t>감점</t>
    <phoneticPr fontId="8" type="noConversion"/>
  </si>
  <si>
    <t>부패행위 관련자</t>
    <phoneticPr fontId="8" type="noConversion"/>
  </si>
  <si>
    <t>가감점
 평가기준</t>
    <phoneticPr fontId="8" type="noConversion"/>
  </si>
  <si>
    <t>-</t>
    <phoneticPr fontId="8" type="noConversion"/>
  </si>
  <si>
    <t>합계</t>
    <phoneticPr fontId="8" type="noConversion"/>
  </si>
  <si>
    <t>합계</t>
    <phoneticPr fontId="8" type="noConversion"/>
  </si>
  <si>
    <t>총00건</t>
    <phoneticPr fontId="8" type="noConversion"/>
  </si>
  <si>
    <t>100%계</t>
    <phoneticPr fontId="8" type="noConversion"/>
  </si>
  <si>
    <t>60%계</t>
    <phoneticPr fontId="8" type="noConversion"/>
  </si>
  <si>
    <t>계</t>
    <phoneticPr fontId="8" type="noConversion"/>
  </si>
  <si>
    <t>-</t>
    <phoneticPr fontId="8" type="noConversion"/>
  </si>
  <si>
    <t>유사용역사업 수행실적</t>
    <phoneticPr fontId="2" type="noConversion"/>
  </si>
  <si>
    <t>기타
분야</t>
    <phoneticPr fontId="8" type="noConversion"/>
  </si>
  <si>
    <t>00엔지니어링</t>
    <phoneticPr fontId="8" type="noConversion"/>
  </si>
  <si>
    <t>평가점수
(A)</t>
    <phoneticPr fontId="8" type="noConversion"/>
  </si>
  <si>
    <t>점수</t>
    <phoneticPr fontId="8" type="noConversion"/>
  </si>
  <si>
    <t>공사개요(면적, 금액)</t>
    <phoneticPr fontId="8" type="noConversion"/>
  </si>
  <si>
    <t>2. 공고일에 맞도록 날짜 수정 기입한다</t>
    <phoneticPr fontId="2" type="noConversion"/>
  </si>
  <si>
    <t>1. 빨강색으로 표시된 곳만 수정 입력하고 추가사항 있을시
   "셀 복사 → 복사한 셀 삽입"을 통하여 기재하며, 계산식이 연동되었는지 확인한다.</t>
    <phoneticPr fontId="2" type="noConversion"/>
  </si>
  <si>
    <t>3. 3개 업체 컨소시엄 기준으로 작성한 산정표 이므로
   만약 2개 업체 컨소시엄으로 참여시 필요없는 셀은 삭제한다(수식 오류 수정 필요)</t>
    <phoneticPr fontId="2" type="noConversion"/>
  </si>
  <si>
    <t>점수</t>
    <phoneticPr fontId="8" type="noConversion"/>
  </si>
  <si>
    <t>적용점수</t>
    <phoneticPr fontId="8" type="noConversion"/>
  </si>
  <si>
    <t>AA+, AA0, AA-</t>
    <phoneticPr fontId="8" type="noConversion"/>
  </si>
  <si>
    <t>명의자명</t>
    <phoneticPr fontId="8" type="noConversion"/>
  </si>
  <si>
    <t>(활용
실적)
건설
신기술</t>
    <phoneticPr fontId="8" type="noConversion"/>
  </si>
  <si>
    <t>(활용
실적)
특허</t>
    <phoneticPr fontId="8" type="noConversion"/>
  </si>
  <si>
    <t>(개발
실적)
건설
신기술</t>
    <phoneticPr fontId="8" type="noConversion"/>
  </si>
  <si>
    <t>-</t>
    <phoneticPr fontId="8" type="noConversion"/>
  </si>
  <si>
    <t>-</t>
    <phoneticPr fontId="8" type="noConversion"/>
  </si>
  <si>
    <t>㈜00엔지니어링</t>
    <phoneticPr fontId="8" type="noConversion"/>
  </si>
  <si>
    <t>㈜01엔지니어링</t>
  </si>
  <si>
    <t>㈜02엔지니어링</t>
  </si>
  <si>
    <t>보호기간</t>
    <phoneticPr fontId="8" type="noConversion"/>
  </si>
  <si>
    <t>등록권리
만료기간</t>
    <phoneticPr fontId="8" type="noConversion"/>
  </si>
  <si>
    <t>사용실적가중치</t>
    <phoneticPr fontId="8" type="noConversion"/>
  </si>
  <si>
    <t>사용실적적용가중치</t>
    <phoneticPr fontId="8" type="noConversion"/>
  </si>
  <si>
    <t>환산
가중치</t>
    <phoneticPr fontId="8" type="noConversion"/>
  </si>
  <si>
    <t xml:space="preserve">
경과기간</t>
    <phoneticPr fontId="8" type="noConversion"/>
  </si>
  <si>
    <t>특허출원시기</t>
    <phoneticPr fontId="8" type="noConversion"/>
  </si>
  <si>
    <t>건설신기술, 특허, (개발,활용실적)</t>
    <phoneticPr fontId="8" type="noConversion"/>
  </si>
  <si>
    <t>0.25점/회 감점</t>
    <phoneticPr fontId="8" type="noConversion"/>
  </si>
  <si>
    <t>신용평가등급</t>
    <phoneticPr fontId="8" type="noConversion"/>
  </si>
  <si>
    <t>해당분야100%,그외60%</t>
    <phoneticPr fontId="8" type="noConversion"/>
  </si>
  <si>
    <t>종합</t>
    <phoneticPr fontId="2" type="noConversion"/>
  </si>
  <si>
    <t>설계 사업관리</t>
    <phoneticPr fontId="2" type="noConversion"/>
  </si>
  <si>
    <t>일반</t>
    <phoneticPr fontId="2" type="noConversion"/>
  </si>
  <si>
    <t>건설사업관리</t>
    <phoneticPr fontId="2" type="noConversion"/>
  </si>
  <si>
    <t>과장</t>
    <phoneticPr fontId="8" type="noConversion"/>
  </si>
  <si>
    <t>00시</t>
    <phoneticPr fontId="8" type="noConversion"/>
  </si>
  <si>
    <t>홍길육</t>
    <phoneticPr fontId="8" type="noConversion"/>
  </si>
  <si>
    <t>담당업무</t>
    <phoneticPr fontId="8" type="noConversion"/>
  </si>
  <si>
    <t>책임정도</t>
  </si>
  <si>
    <t>책임정도</t>
    <phoneticPr fontId="8" type="noConversion"/>
  </si>
  <si>
    <t>담당업무</t>
    <phoneticPr fontId="8" type="noConversion"/>
  </si>
  <si>
    <t>당당업무</t>
    <phoneticPr fontId="8" type="noConversion"/>
  </si>
  <si>
    <t>책임건설사업기술자</t>
  </si>
  <si>
    <t>건설사업관리(시공단계)</t>
    <phoneticPr fontId="8" type="noConversion"/>
  </si>
  <si>
    <t>책임건설사업기술자</t>
    <phoneticPr fontId="8" type="noConversion"/>
  </si>
  <si>
    <t>책임건설사업기술자</t>
    <phoneticPr fontId="8" type="noConversion"/>
  </si>
  <si>
    <t>참여기간</t>
    <phoneticPr fontId="8" type="noConversion"/>
  </si>
  <si>
    <t>참여기간</t>
    <phoneticPr fontId="8" type="noConversion"/>
  </si>
  <si>
    <t>참여기간</t>
    <phoneticPr fontId="8" type="noConversion"/>
  </si>
  <si>
    <t>참여기술자 개인별 경력 및 실적목록</t>
    <phoneticPr fontId="2" type="noConversion"/>
  </si>
  <si>
    <t>분야별기술자는(월)</t>
    <phoneticPr fontId="8" type="noConversion"/>
  </si>
  <si>
    <t>참여기술자 개인별 해당분야 경력</t>
    <phoneticPr fontId="2" type="noConversion"/>
  </si>
  <si>
    <t>공사종류 및 담당업무</t>
    <phoneticPr fontId="8" type="noConversion"/>
  </si>
  <si>
    <t>시점</t>
    <phoneticPr fontId="8" type="noConversion"/>
  </si>
  <si>
    <t>종정</t>
    <phoneticPr fontId="8" type="noConversion"/>
  </si>
  <si>
    <t>참여기간(인정일)</t>
    <phoneticPr fontId="8" type="noConversion"/>
  </si>
  <si>
    <t>1994.10.10</t>
    <phoneticPr fontId="8" type="noConversion"/>
  </si>
  <si>
    <t>2009.10.09</t>
    <phoneticPr fontId="8" type="noConversion"/>
  </si>
  <si>
    <t>2009.10.10</t>
    <phoneticPr fontId="8" type="noConversion"/>
  </si>
  <si>
    <t>2012.10.09</t>
    <phoneticPr fontId="8" type="noConversion"/>
  </si>
  <si>
    <t>2010.1010.</t>
    <phoneticPr fontId="8" type="noConversion"/>
  </si>
  <si>
    <t>상주/보조</t>
    <phoneticPr fontId="8" type="noConversion"/>
  </si>
  <si>
    <t>시공</t>
    <phoneticPr fontId="8" type="noConversion"/>
  </si>
  <si>
    <t>현자대리인</t>
    <phoneticPr fontId="8" type="noConversion"/>
  </si>
  <si>
    <t>현장대리인</t>
    <phoneticPr fontId="8" type="noConversion"/>
  </si>
  <si>
    <t>시공</t>
    <phoneticPr fontId="8" type="noConversion"/>
  </si>
  <si>
    <t>이수기간</t>
    <phoneticPr fontId="8" type="noConversion"/>
  </si>
  <si>
    <t>자격종목</t>
    <phoneticPr fontId="8" type="noConversion"/>
  </si>
  <si>
    <t>자격증번호</t>
    <phoneticPr fontId="8" type="noConversion"/>
  </si>
  <si>
    <t>성명</t>
    <phoneticPr fontId="8" type="noConversion"/>
  </si>
  <si>
    <t>자격등급</t>
    <phoneticPr fontId="8" type="noConversion"/>
  </si>
  <si>
    <t>수석감리사 전문1</t>
    <phoneticPr fontId="8" type="noConversion"/>
  </si>
  <si>
    <t>수석감리사 전문2</t>
    <phoneticPr fontId="8" type="noConversion"/>
  </si>
  <si>
    <t>수석감리사 전문2</t>
    <phoneticPr fontId="8" type="noConversion"/>
  </si>
  <si>
    <t>수석감리사 전문1</t>
    <phoneticPr fontId="8" type="noConversion"/>
  </si>
  <si>
    <t>가. 입찰참가제한 또는 업무정지기간</t>
    <phoneticPr fontId="8" type="noConversion"/>
  </si>
  <si>
    <t>ooo</t>
    <phoneticPr fontId="8" type="noConversion"/>
  </si>
  <si>
    <t>입찰참가제한</t>
    <phoneticPr fontId="8" type="noConversion"/>
  </si>
  <si>
    <t>00시</t>
    <phoneticPr fontId="8" type="noConversion"/>
  </si>
  <si>
    <t>영업정지</t>
    <phoneticPr fontId="8" type="noConversion"/>
  </si>
  <si>
    <t>업무정지</t>
    <phoneticPr fontId="8" type="noConversion"/>
  </si>
  <si>
    <t>과장금</t>
    <phoneticPr fontId="8" type="noConversion"/>
  </si>
  <si>
    <t>기술자격정지</t>
  </si>
  <si>
    <t>기술자격정지</t>
    <phoneticPr fontId="8" type="noConversion"/>
  </si>
  <si>
    <t>입찰참가제한 및 영업정지 기간
(자격정지 및 업무정지)</t>
    <phoneticPr fontId="8" type="noConversion"/>
  </si>
  <si>
    <t>해당 건설사업관리</t>
    <phoneticPr fontId="8" type="noConversion"/>
  </si>
  <si>
    <t>○ 건설사업관리용역회사</t>
    <phoneticPr fontId="8" type="noConversion"/>
  </si>
  <si>
    <t>소계</t>
    <phoneticPr fontId="8" type="noConversion"/>
  </si>
  <si>
    <t>건설사업관리용역업자
참여기술자</t>
    <phoneticPr fontId="8" type="noConversion"/>
  </si>
  <si>
    <t>1년간 현장배치된 건설사업관리기술자수 교체빈도율</t>
    <phoneticPr fontId="8" type="noConversion"/>
  </si>
  <si>
    <t>(2)참여
기술자</t>
    <phoneticPr fontId="8" type="noConversion"/>
  </si>
  <si>
    <t>0점표기</t>
    <phoneticPr fontId="8" type="noConversion"/>
  </si>
  <si>
    <t>계</t>
    <phoneticPr fontId="8" type="noConversion"/>
  </si>
  <si>
    <t>총계</t>
    <phoneticPr fontId="8" type="noConversion"/>
  </si>
  <si>
    <t>-</t>
    <phoneticPr fontId="8" type="noConversion"/>
  </si>
  <si>
    <t>등급평가</t>
    <phoneticPr fontId="8" type="noConversion"/>
  </si>
  <si>
    <t>산정시작일</t>
    <phoneticPr fontId="8" type="noConversion"/>
  </si>
  <si>
    <t>공고일</t>
    <phoneticPr fontId="8" type="noConversion"/>
  </si>
  <si>
    <t>과징금</t>
    <phoneticPr fontId="8" type="noConversion"/>
  </si>
  <si>
    <t>최근 1년간 교체빈도 현황</t>
    <phoneticPr fontId="2" type="noConversion"/>
  </si>
  <si>
    <t>건축사</t>
  </si>
  <si>
    <t>건축사</t>
    <phoneticPr fontId="8" type="noConversion"/>
  </si>
  <si>
    <t>건축기사</t>
    <phoneticPr fontId="8" type="noConversion"/>
  </si>
  <si>
    <t>생년월일</t>
    <phoneticPr fontId="2" type="noConversion"/>
  </si>
  <si>
    <t>000000</t>
    <phoneticPr fontId="8" type="noConversion"/>
  </si>
  <si>
    <t>홍길삼</t>
    <phoneticPr fontId="8" type="noConversion"/>
  </si>
  <si>
    <t>홍길사</t>
    <phoneticPr fontId="8" type="noConversion"/>
  </si>
  <si>
    <t>00-00-01</t>
  </si>
  <si>
    <t>00-00-02</t>
  </si>
  <si>
    <t>00-00-03</t>
  </si>
  <si>
    <t>00기술단</t>
    <phoneticPr fontId="8" type="noConversion"/>
  </si>
  <si>
    <t>00엔지니어링</t>
    <phoneticPr fontId="8" type="noConversion"/>
  </si>
  <si>
    <t>00엔지니어링</t>
    <phoneticPr fontId="8" type="noConversion"/>
  </si>
  <si>
    <t>전기</t>
    <phoneticPr fontId="2" type="noConversion"/>
  </si>
  <si>
    <t>소방</t>
    <phoneticPr fontId="2" type="noConversion"/>
  </si>
  <si>
    <t>건설사업관리(감리) 등록증</t>
    <phoneticPr fontId="2" type="noConversion"/>
  </si>
  <si>
    <t>비고</t>
    <phoneticPr fontId="2" type="noConversion"/>
  </si>
  <si>
    <t>기타</t>
    <phoneticPr fontId="2" type="noConversion"/>
  </si>
  <si>
    <t>계</t>
    <phoneticPr fontId="8" type="noConversion"/>
  </si>
  <si>
    <t>00 건축공사</t>
    <phoneticPr fontId="8" type="noConversion"/>
  </si>
  <si>
    <t>건축물/시공</t>
    <phoneticPr fontId="8" type="noConversion"/>
  </si>
  <si>
    <t>건축물/감리</t>
    <phoneticPr fontId="8" type="noConversion"/>
  </si>
  <si>
    <t>oo대학교
(석사)</t>
    <phoneticPr fontId="8" type="noConversion"/>
  </si>
  <si>
    <t>oo대학교
(석사)</t>
    <phoneticPr fontId="8" type="noConversion"/>
  </si>
  <si>
    <t>oo대학교
(학사)</t>
    <phoneticPr fontId="8" type="noConversion"/>
  </si>
  <si>
    <t>11.11.19~ 11.11.23</t>
    <phoneticPr fontId="8" type="noConversion"/>
  </si>
  <si>
    <t>건축</t>
    <phoneticPr fontId="8" type="noConversion"/>
  </si>
  <si>
    <t>자격증평가</t>
    <phoneticPr fontId="8" type="noConversion"/>
  </si>
  <si>
    <t>건축시공</t>
    <phoneticPr fontId="8" type="noConversion"/>
  </si>
  <si>
    <t>건축사</t>
    <phoneticPr fontId="8" type="noConversion"/>
  </si>
  <si>
    <t xml:space="preserve">
건축</t>
    <phoneticPr fontId="8" type="noConversion"/>
  </si>
  <si>
    <t>건축</t>
    <phoneticPr fontId="8" type="noConversion"/>
  </si>
  <si>
    <t>전기</t>
    <phoneticPr fontId="8" type="noConversion"/>
  </si>
  <si>
    <t>수석감리사 전문1</t>
    <phoneticPr fontId="8" type="noConversion"/>
  </si>
  <si>
    <t>건설기술교육원</t>
    <phoneticPr fontId="8" type="noConversion"/>
  </si>
  <si>
    <t>11.11.11~ 11.11.16</t>
    <phoneticPr fontId="8" type="noConversion"/>
  </si>
  <si>
    <t>안전관리 담당 전문</t>
    <phoneticPr fontId="8" type="noConversion"/>
  </si>
  <si>
    <t>11.11.19~ 11.11.23</t>
    <phoneticPr fontId="8" type="noConversion"/>
  </si>
  <si>
    <t>기술자격(기술사,건축사)</t>
    <phoneticPr fontId="8" type="noConversion"/>
  </si>
  <si>
    <t>총00건</t>
    <phoneticPr fontId="8" type="noConversion"/>
  </si>
  <si>
    <t>건축이 주공종인 유사용역사업 수행실적 포함일 경우 수식 수정필요함…</t>
    <phoneticPr fontId="8" type="noConversion"/>
  </si>
  <si>
    <t>00감리용역</t>
    <phoneticPr fontId="8" type="noConversion"/>
  </si>
  <si>
    <t>00시</t>
    <phoneticPr fontId="8" type="noConversion"/>
  </si>
  <si>
    <t>상주</t>
    <phoneticPr fontId="8" type="noConversion"/>
  </si>
  <si>
    <t>00청</t>
    <phoneticPr fontId="8" type="noConversion"/>
  </si>
  <si>
    <t>00감리용역</t>
    <phoneticPr fontId="8" type="noConversion"/>
  </si>
  <si>
    <t>00청</t>
    <phoneticPr fontId="8" type="noConversion"/>
  </si>
  <si>
    <t>상주</t>
    <phoneticPr fontId="8" type="noConversion"/>
  </si>
  <si>
    <t>00공사</t>
    <phoneticPr fontId="8" type="noConversion"/>
  </si>
  <si>
    <t>비상주</t>
    <phoneticPr fontId="8" type="noConversion"/>
  </si>
  <si>
    <t>고급 이상 : 3
중급 이하 : 2</t>
    <phoneticPr fontId="8" type="noConversion"/>
  </si>
  <si>
    <t>노유자시설</t>
    <phoneticPr fontId="8" type="noConversion"/>
  </si>
  <si>
    <t>연 면 적:10,000㎡</t>
    <phoneticPr fontId="8" type="noConversion"/>
  </si>
  <si>
    <t>노유자시설/시공</t>
    <phoneticPr fontId="8" type="noConversion"/>
  </si>
  <si>
    <t>노유자시설/감리</t>
    <phoneticPr fontId="8" type="noConversion"/>
  </si>
  <si>
    <t xml:space="preserve">  1) 건축분야 건설공사업무 실적&lt;설계&gt;</t>
    <phoneticPr fontId="8" type="noConversion"/>
  </si>
  <si>
    <t xml:space="preserve">  2) 건축분야 건설공사업무 실적&lt;시공 등&gt;</t>
    <phoneticPr fontId="8" type="noConversion"/>
  </si>
  <si>
    <t>토목</t>
    <phoneticPr fontId="8" type="noConversion"/>
  </si>
  <si>
    <t>토목기사</t>
    <phoneticPr fontId="8" type="noConversion"/>
  </si>
  <si>
    <t>(4)면접
   (발표)
[4.5]</t>
    <phoneticPr fontId="8" type="noConversion"/>
  </si>
  <si>
    <t>(나)해당분야경력</t>
    <phoneticPr fontId="8" type="noConversion"/>
  </si>
  <si>
    <t>(라)교육훈련</t>
    <phoneticPr fontId="8" type="noConversion"/>
  </si>
  <si>
    <t>10,000㎡ 이상</t>
    <phoneticPr fontId="8" type="noConversion"/>
  </si>
  <si>
    <t>10,000㎡ 미만</t>
    <phoneticPr fontId="8" type="noConversion"/>
  </si>
  <si>
    <t>교체횟수</t>
    <phoneticPr fontId="8" type="noConversion"/>
  </si>
  <si>
    <t>공사비절감 감리원</t>
    <phoneticPr fontId="32" type="noConversion"/>
  </si>
  <si>
    <t>구분</t>
    <phoneticPr fontId="32" type="noConversion"/>
  </si>
  <si>
    <t>발주청</t>
    <phoneticPr fontId="32" type="noConversion"/>
  </si>
  <si>
    <t>용역명</t>
    <phoneticPr fontId="32" type="noConversion"/>
  </si>
  <si>
    <t>절감금액</t>
    <phoneticPr fontId="32" type="noConversion"/>
  </si>
  <si>
    <t>절감율</t>
    <phoneticPr fontId="32" type="noConversion"/>
  </si>
  <si>
    <t>점수산출</t>
    <phoneticPr fontId="32" type="noConversion"/>
  </si>
  <si>
    <t>점수</t>
    <phoneticPr fontId="32" type="noConversion"/>
  </si>
  <si>
    <t>건당배접</t>
    <phoneticPr fontId="32" type="noConversion"/>
  </si>
  <si>
    <t>가중치</t>
    <phoneticPr fontId="32" type="noConversion"/>
  </si>
  <si>
    <t>상주</t>
    <phoneticPr fontId="32" type="noConversion"/>
  </si>
  <si>
    <t>OOO</t>
    <phoneticPr fontId="32" type="noConversion"/>
  </si>
  <si>
    <t>비상주</t>
    <phoneticPr fontId="32" type="noConversion"/>
  </si>
  <si>
    <t>합  계</t>
    <phoneticPr fontId="32" type="noConversion"/>
  </si>
  <si>
    <t>첨부 : 발주청 증명서 1부(원본)_사본제출시 사실과상이없음 명시후 사용인감 날인바람</t>
    <phoneticPr fontId="32" type="noConversion"/>
  </si>
  <si>
    <t>신규고용율
(A/B)</t>
    <phoneticPr fontId="32" type="noConversion"/>
  </si>
  <si>
    <t>적용비율</t>
    <phoneticPr fontId="32" type="noConversion"/>
  </si>
  <si>
    <t>12개월전</t>
    <phoneticPr fontId="8" type="noConversion"/>
  </si>
  <si>
    <t>11개월전</t>
    <phoneticPr fontId="32" type="noConversion"/>
  </si>
  <si>
    <t>10개월전</t>
    <phoneticPr fontId="32" type="noConversion"/>
  </si>
  <si>
    <t>9개월전</t>
  </si>
  <si>
    <t>8개월전</t>
  </si>
  <si>
    <t>7개월전</t>
  </si>
  <si>
    <t>6개월전</t>
  </si>
  <si>
    <t>5개월전</t>
  </si>
  <si>
    <t>4개월전</t>
  </si>
  <si>
    <t>3개월전</t>
  </si>
  <si>
    <t>2개월전</t>
  </si>
  <si>
    <t>1개월전</t>
  </si>
  <si>
    <t>합 계(A)</t>
    <phoneticPr fontId="8" type="noConversion"/>
  </si>
  <si>
    <t>직전년도 동기간 평균 고용인원 (산정기간 : 2016.00.00 ~ 2016.00.00)</t>
    <phoneticPr fontId="32" type="noConversion"/>
  </si>
  <si>
    <t>합 계</t>
    <phoneticPr fontId="8" type="noConversion"/>
  </si>
  <si>
    <t>평균 고용인원(B)</t>
    <phoneticPr fontId="8" type="noConversion"/>
  </si>
  <si>
    <r>
      <t xml:space="preserve">4) </t>
    </r>
    <r>
      <rPr>
        <sz val="11"/>
        <color rgb="FF000000"/>
        <rFont val="맑은 고딕"/>
        <family val="3"/>
        <charset val="129"/>
        <scheme val="minor"/>
      </rPr>
      <t>공동이행방식으로 용역을 수행하는 경우에는 공동수급체의 구성원별 평가 점수에 용역참여지분율을 곱하여 산정한후 이를 합산</t>
    </r>
  </si>
  <si>
    <t xml:space="preserve">붙임 </t>
    <phoneticPr fontId="32" type="noConversion"/>
  </si>
  <si>
    <t>부패행위 관련자</t>
    <phoneticPr fontId="32" type="noConversion"/>
  </si>
  <si>
    <t>부패행위 감리전문회사</t>
    <phoneticPr fontId="32" type="noConversion"/>
  </si>
  <si>
    <t>처분(처벌)일</t>
    <phoneticPr fontId="32" type="noConversion"/>
  </si>
  <si>
    <t>피해금액</t>
    <phoneticPr fontId="32" type="noConversion"/>
  </si>
  <si>
    <t>피해금액 비율</t>
    <phoneticPr fontId="32" type="noConversion"/>
  </si>
  <si>
    <t>감점</t>
    <phoneticPr fontId="32" type="noConversion"/>
  </si>
  <si>
    <t>OOOOO</t>
    <phoneticPr fontId="32" type="noConversion"/>
  </si>
  <si>
    <t>부패행위 감리원</t>
    <phoneticPr fontId="32" type="noConversion"/>
  </si>
  <si>
    <t>업무중첩도</t>
    <phoneticPr fontId="32" type="noConversion"/>
  </si>
  <si>
    <t>이   름</t>
    <phoneticPr fontId="32" type="noConversion"/>
  </si>
  <si>
    <t>용     역     명</t>
    <phoneticPr fontId="32" type="noConversion"/>
  </si>
  <si>
    <t>용역기간</t>
    <phoneticPr fontId="32" type="noConversion"/>
  </si>
  <si>
    <t>건수</t>
    <phoneticPr fontId="32" type="noConversion"/>
  </si>
  <si>
    <t>계</t>
    <phoneticPr fontId="32" type="noConversion"/>
  </si>
  <si>
    <t>전기기사</t>
    <phoneticPr fontId="8" type="noConversion"/>
  </si>
  <si>
    <t>주차장 건설공사</t>
    <phoneticPr fontId="8" type="noConversion"/>
  </si>
  <si>
    <t>00주차장 건설공사</t>
    <phoneticPr fontId="8" type="noConversion"/>
  </si>
  <si>
    <t>00주차장 공사</t>
  </si>
  <si>
    <t>00주차장 공사</t>
    <phoneticPr fontId="8" type="noConversion"/>
  </si>
  <si>
    <t>000주차장
건설사업관리용역</t>
    <phoneticPr fontId="8" type="noConversion"/>
  </si>
  <si>
    <t xml:space="preserve"> </t>
    <phoneticPr fontId="2" type="noConversion"/>
  </si>
  <si>
    <t>사업수행능력평가 산정표</t>
  </si>
  <si>
    <t>㈜○○엔지니어링대표이사 ○ ○ ○</t>
  </si>
  <si>
    <t xml:space="preserve">2020. 08. </t>
    <phoneticPr fontId="8" type="noConversion"/>
  </si>
  <si>
    <t>토목기사</t>
    <phoneticPr fontId="8" type="noConversion"/>
  </si>
  <si>
    <t>참여기술인 명단(등급)</t>
  </si>
  <si>
    <t>책임
건설사업
관리기술인</t>
  </si>
  <si>
    <t>건축분야
(고급기술인)</t>
  </si>
  <si>
    <t>분야별
건설사업
관리기술인</t>
  </si>
  <si>
    <t>토목분야
(고급기술인)</t>
  </si>
  <si>
    <t>전기분야
(고급기술인)</t>
  </si>
  <si>
    <t>기술지원
기술인</t>
  </si>
  <si>
    <t>건축분야
(특급기술인)</t>
  </si>
  <si>
    <t>토목분야
(특급기술인)</t>
  </si>
  <si>
    <t>(1)책임
건설사업
관리기술인
[22]</t>
  </si>
  <si>
    <t>100~300억,1년이상,고급기술인</t>
  </si>
  <si>
    <t>기술인격(기술사,건축사)</t>
  </si>
  <si>
    <t>가.참여
기술인
[60]</t>
    <phoneticPr fontId="8" type="noConversion"/>
  </si>
  <si>
    <t>고급기술인</t>
  </si>
  <si>
    <t>책임건설사업관리기술인</t>
    <phoneticPr fontId="8" type="noConversion"/>
  </si>
  <si>
    <t>분야별건설사업관리기술인</t>
    <phoneticPr fontId="8" type="noConversion"/>
  </si>
  <si>
    <t>고급기술인</t>
    <phoneticPr fontId="8" type="noConversion"/>
  </si>
  <si>
    <t>(2)분야별
건설사업
관리기술인[23.5]</t>
    <phoneticPr fontId="8" type="noConversion"/>
  </si>
  <si>
    <t>(3)기술
지원
기술인
[10]</t>
    <phoneticPr fontId="8" type="noConversion"/>
  </si>
  <si>
    <t>(1)건설
사업관리
용역사업자
실적</t>
    <phoneticPr fontId="8" type="noConversion"/>
  </si>
  <si>
    <t>건설사업관리용역사업자(0.2점 감점/월)
참여감리원(0.2점 감점/월)</t>
    <phoneticPr fontId="8" type="noConversion"/>
  </si>
  <si>
    <t>(1)건설
사업관리
용역사업자</t>
    <phoneticPr fontId="8" type="noConversion"/>
  </si>
  <si>
    <t>건설기술인 신규고용</t>
    <phoneticPr fontId="8" type="noConversion"/>
  </si>
  <si>
    <t>공사비 절감기여 기술인</t>
    <phoneticPr fontId="8" type="noConversion"/>
  </si>
  <si>
    <t>책임건설사업관리기술인 등급판정</t>
    <phoneticPr fontId="8" type="noConversion"/>
  </si>
  <si>
    <t>상주 건설사업관리기술인 개인별 직무분야 실적</t>
  </si>
  <si>
    <t xml:space="preserve">○ 책임건설사업관리기술인 </t>
  </si>
  <si>
    <t>○ 분야별건설사업관리기술인</t>
  </si>
  <si>
    <t>기술
지원
기술인</t>
  </si>
  <si>
    <t>나.  책임건설사업관리기술인 및 기술지원기술인 기술자격 현황</t>
    <phoneticPr fontId="8" type="noConversion"/>
  </si>
  <si>
    <t>책임건설사업
관리기술인</t>
  </si>
  <si>
    <t>특급기술인</t>
  </si>
  <si>
    <t>기술지원기술인
(자격증평가)</t>
  </si>
  <si>
    <t>기술지원기술인</t>
  </si>
  <si>
    <t>중급기술인</t>
  </si>
  <si>
    <t>교육훈련 이수 및 기술자격 현황</t>
    <phoneticPr fontId="8" type="noConversion"/>
  </si>
  <si>
    <t>참여기술인</t>
  </si>
  <si>
    <t>BBB- 이상</t>
    <phoneticPr fontId="8" type="noConversion"/>
  </si>
  <si>
    <t>B- 이상 ~ BBB+ 미만</t>
    <phoneticPr fontId="8" type="noConversion"/>
  </si>
  <si>
    <t>CCC+ 이하</t>
    <phoneticPr fontId="8" type="noConversion"/>
  </si>
  <si>
    <t>건설사업관리용역사업자</t>
    <phoneticPr fontId="8" type="noConversion"/>
  </si>
  <si>
    <t>회사소속 건설사업관리기술인수</t>
    <phoneticPr fontId="8" type="noConversion"/>
  </si>
  <si>
    <t>현장배치 기술인수</t>
  </si>
  <si>
    <t>상주건설사업
관리기술인</t>
  </si>
  <si>
    <t>○ 참여기술인</t>
  </si>
  <si>
    <t>기술인 성명</t>
    <phoneticPr fontId="32" type="noConversion"/>
  </si>
  <si>
    <t>건설기술인 신규고용</t>
    <phoneticPr fontId="32" type="noConversion"/>
  </si>
  <si>
    <t>최근 1년간 건설기술인 신규 고용인원 (산정기간 : 2016.00.00 ~ 2016.00.00)</t>
    <phoneticPr fontId="32" type="noConversion"/>
  </si>
  <si>
    <t>1) 건설기술인 경력관리 수탁기관의 경력증명서에 최초로 입사 등록된 자(이전 건설분야 근무경력이 없는자)에 한함</t>
  </si>
  <si>
    <t>2) 직전년도 동기간 평균 고용인원은 건설기술인 경력관리 수탁기관에 신고한 자로서 해당업체의 기술인 재직인원(월말기준)을 월단위로 평균하여 산정</t>
  </si>
  <si>
    <t>3) 건설기술인 경력관리 수탂기관에서 확인한 후 발급한 자료로 평가</t>
  </si>
  <si>
    <t>1. 신규 청년기술인 관련협회 경력확인서 1부.</t>
  </si>
  <si>
    <t>책임
기술인</t>
    <phoneticPr fontId="32" type="noConversion"/>
  </si>
  <si>
    <t>보조기술인</t>
    <phoneticPr fontId="32" type="noConversion"/>
  </si>
  <si>
    <t>기술지원기술인</t>
    <phoneticPr fontId="32" type="noConversion"/>
  </si>
  <si>
    <t xml:space="preserve">* 업무중첩도 참여기술자인에 따라 나누어 계산하지 않음 </t>
    <phoneticPr fontId="32" type="noConversion"/>
  </si>
  <si>
    <t>가중치
(%)</t>
    <phoneticPr fontId="8" type="noConversion"/>
  </si>
  <si>
    <t>종합/전문</t>
    <phoneticPr fontId="2" type="noConversion"/>
  </si>
  <si>
    <t>전문/일반</t>
    <phoneticPr fontId="2" type="noConversion"/>
  </si>
  <si>
    <t>2. 기타 증빙자료 1부.</t>
    <phoneticPr fontId="32" type="noConversion"/>
  </si>
  <si>
    <t>(가칭)동탄 호수공원 주차타워 건립 건설사업관리용역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</si>
</sst>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76" formatCode="0.0_ "/>
    <numFmt numFmtId="177" formatCode="#,##0_ "/>
    <numFmt numFmtId="178" formatCode="0.00_ "/>
    <numFmt numFmtId="179" formatCode="#,##0.00_ "/>
    <numFmt numFmtId="180" formatCode="#&quot;주&quot;"/>
    <numFmt numFmtId="181" formatCode="#&quot;일&quot;"/>
    <numFmt numFmtId="182" formatCode="#&quot;년&quot;"/>
    <numFmt numFmtId="183" formatCode="#&quot;월&quot;"/>
    <numFmt numFmtId="184" formatCode="_-* #,##0.00_-;\-* #,##0.00_-;_-* &quot;-&quot;_-;_-@_-"/>
    <numFmt numFmtId="185" formatCode="#,##0.00_);[Red]\(#,##0.00\)"/>
    <numFmt numFmtId="186" formatCode="#,##0.0000_);[Red]\(#,##0.0000\)"/>
    <numFmt numFmtId="187" formatCode="#.0&quot;년&quot;"/>
    <numFmt numFmtId="188" formatCode="0_);[Red]\(0\)"/>
    <numFmt numFmtId="189" formatCode="0.000_ "/>
    <numFmt numFmtId="190" formatCode="#,##0.00_);\(#,##0.00\)"/>
    <numFmt numFmtId="191" formatCode="0_ "/>
    <numFmt numFmtId="192" formatCode="#,##0.0_);[Red]\(#,##0.0\)"/>
    <numFmt numFmtId="193" formatCode="0.00;_짿"/>
    <numFmt numFmtId="194" formatCode="0.0&quot;억원&quot;"/>
    <numFmt numFmtId="195" formatCode="0.0%"/>
    <numFmt numFmtId="196" formatCode="0.0000%"/>
  </numFmts>
  <fonts count="5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3" tint="-0.499984740745262"/>
      <name val="맑은 고딕"/>
      <family val="2"/>
      <charset val="129"/>
      <scheme val="minor"/>
    </font>
    <font>
      <sz val="11"/>
      <color theme="3" tint="-0.499984740745262"/>
      <name val="맑은 고딕"/>
      <family val="3"/>
      <charset val="129"/>
      <scheme val="minor"/>
    </font>
    <font>
      <sz val="10"/>
      <color theme="3" tint="-0.499984740745262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8"/>
      <color rgb="FFFF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sz val="10"/>
      <color theme="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나눔명조"/>
      <family val="3"/>
      <charset val="129"/>
    </font>
    <font>
      <b/>
      <sz val="14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indexed="10"/>
      <name val="맑은 고딕"/>
      <family val="3"/>
      <charset val="129"/>
      <scheme val="major"/>
    </font>
    <font>
      <sz val="11"/>
      <color indexed="10"/>
      <name val="맑은 고딕"/>
      <family val="3"/>
      <charset val="129"/>
      <scheme val="major"/>
    </font>
    <font>
      <sz val="20"/>
      <color rgb="FF000000"/>
      <name val="맑은 고딕"/>
      <family val="3"/>
      <charset val="129"/>
      <scheme val="minor"/>
    </font>
    <font>
      <sz val="36"/>
      <color rgb="FF000000"/>
      <name val="맑은 고딕"/>
      <family val="3"/>
      <charset val="129"/>
      <scheme val="minor"/>
    </font>
    <font>
      <sz val="33"/>
      <color rgb="FF000000"/>
      <name val="맑은 고딕"/>
      <family val="3"/>
      <charset val="129"/>
      <scheme val="minor"/>
    </font>
    <font>
      <sz val="24"/>
      <color rgb="FF000000"/>
      <name val="맑은 고딕"/>
      <family val="3"/>
      <charset val="129"/>
      <scheme val="minor"/>
    </font>
    <font>
      <sz val="10"/>
      <name val="돋움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medium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 style="medium">
        <color theme="3"/>
      </left>
      <right style="hair">
        <color auto="1"/>
      </right>
      <top style="medium">
        <color theme="3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3"/>
      </top>
      <bottom style="hair">
        <color auto="1"/>
      </bottom>
      <diagonal/>
    </border>
    <border>
      <left style="hair">
        <color auto="1"/>
      </left>
      <right style="medium">
        <color theme="3"/>
      </right>
      <top style="medium">
        <color theme="3"/>
      </top>
      <bottom style="hair">
        <color auto="1"/>
      </bottom>
      <diagonal/>
    </border>
    <border>
      <left style="medium">
        <color theme="3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3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hair">
        <color indexed="64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medium">
        <color rgb="FFFF0000"/>
      </right>
      <top style="medium">
        <color rgb="FFFF0000"/>
      </top>
      <bottom/>
      <diagonal/>
    </border>
    <border>
      <left style="hair">
        <color theme="1"/>
      </left>
      <right style="hair">
        <color theme="1"/>
      </right>
      <top/>
      <bottom style="thin">
        <color auto="1"/>
      </bottom>
      <diagonal/>
    </border>
    <border>
      <left style="hair">
        <color theme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theme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theme="3"/>
      </left>
      <right/>
      <top style="hair">
        <color auto="1"/>
      </top>
      <bottom style="medium">
        <color rgb="FFFF0000"/>
      </bottom>
      <diagonal/>
    </border>
    <border>
      <left style="hair">
        <color indexed="64"/>
      </left>
      <right style="medium">
        <color theme="3"/>
      </right>
      <top style="hair">
        <color indexed="64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indexed="64"/>
      </left>
      <right/>
      <top style="medium">
        <color rgb="FFFF0000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hair">
        <color theme="1"/>
      </right>
      <top style="medium">
        <color rgb="FFFF000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rgb="FFFF0000"/>
      </top>
      <bottom style="hair">
        <color theme="1"/>
      </bottom>
      <diagonal/>
    </border>
    <border>
      <left style="hair">
        <color theme="1"/>
      </left>
      <right style="medium">
        <color rgb="FFFF0000"/>
      </right>
      <top style="medium">
        <color rgb="FFFF0000"/>
      </top>
      <bottom style="hair">
        <color theme="1"/>
      </bottom>
      <diagonal/>
    </border>
    <border>
      <left style="medium">
        <color rgb="FFFF0000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rgb="FFFF0000"/>
      </right>
      <top style="hair">
        <color theme="1"/>
      </top>
      <bottom style="hair">
        <color theme="1"/>
      </bottom>
      <diagonal/>
    </border>
    <border>
      <left style="medium">
        <color rgb="FFFF0000"/>
      </left>
      <right style="hair">
        <color theme="1"/>
      </right>
      <top style="hair">
        <color theme="1"/>
      </top>
      <bottom style="medium">
        <color rgb="FFFF000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FF0000"/>
      </bottom>
      <diagonal/>
    </border>
    <border>
      <left style="hair">
        <color theme="1"/>
      </left>
      <right style="medium">
        <color rgb="FFFF0000"/>
      </right>
      <top style="hair">
        <color theme="1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rgb="FFFF0000"/>
      </right>
      <top style="hair">
        <color auto="1"/>
      </top>
      <bottom/>
      <diagonal/>
    </border>
    <border>
      <left style="medium">
        <color auto="1"/>
      </left>
      <right style="medium">
        <color rgb="FFFF0000"/>
      </right>
      <top/>
      <bottom/>
      <diagonal/>
    </border>
    <border>
      <left style="medium">
        <color auto="1"/>
      </left>
      <right style="medium">
        <color rgb="FFFF0000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rgb="FFFF0000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</cellStyleXfs>
  <cellXfs count="8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6" fillId="0" borderId="0" xfId="2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2" borderId="3" xfId="1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/>
    </xf>
    <xf numFmtId="0" fontId="12" fillId="2" borderId="10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12" fillId="2" borderId="4" xfId="1" applyFont="1" applyBorder="1" applyAlignment="1">
      <alignment horizontal="center" vertical="center" wrapText="1"/>
    </xf>
    <xf numFmtId="0" fontId="12" fillId="2" borderId="1" xfId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/>
    </xf>
    <xf numFmtId="0" fontId="12" fillId="2" borderId="3" xfId="1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center"/>
    </xf>
    <xf numFmtId="0" fontId="0" fillId="0" borderId="42" xfId="0" applyBorder="1">
      <alignment vertical="center"/>
    </xf>
    <xf numFmtId="177" fontId="0" fillId="0" borderId="42" xfId="3" applyNumberFormat="1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14" fontId="12" fillId="2" borderId="10" xfId="1" applyNumberFormat="1" applyFont="1" applyBorder="1" applyAlignment="1">
      <alignment horizontal="center" vertical="center"/>
    </xf>
    <xf numFmtId="9" fontId="12" fillId="2" borderId="4" xfId="1" applyNumberFormat="1" applyFont="1" applyBorder="1" applyAlignment="1">
      <alignment horizontal="center" vertical="center" wrapText="1"/>
    </xf>
    <xf numFmtId="9" fontId="12" fillId="2" borderId="1" xfId="1" applyNumberFormat="1" applyFont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center" vertical="center"/>
    </xf>
    <xf numFmtId="43" fontId="13" fillId="0" borderId="7" xfId="0" applyNumberFormat="1" applyFont="1" applyBorder="1" applyAlignment="1">
      <alignment horizontal="center" vertical="center"/>
    </xf>
    <xf numFmtId="41" fontId="16" fillId="0" borderId="0" xfId="3" applyFont="1" applyBorder="1" applyAlignment="1">
      <alignment horizontal="center" vertical="center"/>
    </xf>
    <xf numFmtId="9" fontId="16" fillId="0" borderId="0" xfId="4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177" fontId="0" fillId="0" borderId="0" xfId="3" applyNumberFormat="1" applyFont="1" applyBorder="1">
      <alignment vertical="center"/>
    </xf>
    <xf numFmtId="14" fontId="0" fillId="0" borderId="0" xfId="0" applyNumberFormat="1" applyFill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83" fontId="16" fillId="0" borderId="0" xfId="0" applyNumberFormat="1" applyFont="1" applyBorder="1" applyAlignment="1">
      <alignment horizontal="center" vertical="center"/>
    </xf>
    <xf numFmtId="184" fontId="16" fillId="0" borderId="0" xfId="3" applyNumberFormat="1" applyFont="1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9" fillId="2" borderId="4" xfId="1" applyFont="1" applyBorder="1" applyAlignment="1">
      <alignment horizontal="center" vertical="center"/>
    </xf>
    <xf numFmtId="0" fontId="9" fillId="2" borderId="10" xfId="1" applyFont="1" applyBorder="1" applyAlignment="1">
      <alignment horizontal="center" vertical="center"/>
    </xf>
    <xf numFmtId="0" fontId="9" fillId="2" borderId="4" xfId="1" applyFont="1" applyBorder="1" applyAlignment="1">
      <alignment horizontal="center" vertical="center" wrapText="1"/>
    </xf>
    <xf numFmtId="0" fontId="9" fillId="2" borderId="3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2" fillId="2" borderId="4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2" fillId="2" borderId="8" xfId="1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 wrapText="1"/>
    </xf>
    <xf numFmtId="0" fontId="12" fillId="2" borderId="1" xfId="1" applyFont="1" applyBorder="1" applyAlignment="1">
      <alignment horizontal="center" vertical="center"/>
    </xf>
    <xf numFmtId="0" fontId="12" fillId="2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2" fillId="2" borderId="42" xfId="1" applyNumberFormat="1" applyFont="1" applyBorder="1" applyAlignment="1">
      <alignment horizontal="center" vertical="center" wrapText="1"/>
    </xf>
    <xf numFmtId="0" fontId="15" fillId="2" borderId="42" xfId="1" applyNumberFormat="1" applyFont="1" applyBorder="1" applyAlignment="1">
      <alignment horizontal="center" vertical="center" wrapText="1"/>
    </xf>
    <xf numFmtId="176" fontId="15" fillId="2" borderId="42" xfId="1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9" fontId="16" fillId="0" borderId="1" xfId="4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2" fillId="2" borderId="17" xfId="1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9" fontId="0" fillId="0" borderId="42" xfId="0" applyNumberForma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9" fontId="13" fillId="0" borderId="42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84" fontId="13" fillId="0" borderId="7" xfId="3" applyNumberFormat="1" applyFont="1" applyBorder="1" applyAlignment="1">
      <alignment horizontal="center" vertical="center"/>
    </xf>
    <xf numFmtId="0" fontId="6" fillId="0" borderId="0" xfId="2" applyBorder="1" applyAlignment="1">
      <alignment horizontal="center" vertical="center" wrapText="1"/>
    </xf>
    <xf numFmtId="182" fontId="15" fillId="0" borderId="1" xfId="0" applyNumberFormat="1" applyFont="1" applyBorder="1" applyAlignment="1">
      <alignment horizontal="center" vertical="center"/>
    </xf>
    <xf numFmtId="9" fontId="15" fillId="0" borderId="8" xfId="0" applyNumberFormat="1" applyFont="1" applyBorder="1" applyAlignment="1">
      <alignment horizontal="center" vertical="center"/>
    </xf>
    <xf numFmtId="184" fontId="13" fillId="0" borderId="1" xfId="3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178" fontId="15" fillId="0" borderId="1" xfId="4" applyNumberFormat="1" applyFont="1" applyBorder="1" applyAlignment="1">
      <alignment horizontal="center" vertical="center"/>
    </xf>
    <xf numFmtId="178" fontId="15" fillId="0" borderId="7" xfId="4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3" borderId="7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13" fillId="0" borderId="8" xfId="4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center" vertical="center"/>
    </xf>
    <xf numFmtId="185" fontId="13" fillId="0" borderId="1" xfId="3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9" fontId="0" fillId="0" borderId="42" xfId="4" applyFont="1" applyBorder="1">
      <alignment vertical="center"/>
    </xf>
    <xf numFmtId="10" fontId="0" fillId="0" borderId="42" xfId="4" applyNumberFormat="1" applyFont="1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14" fontId="18" fillId="3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2" applyBorder="1" applyAlignment="1">
      <alignment horizontal="center" vertical="center"/>
    </xf>
    <xf numFmtId="0" fontId="12" fillId="2" borderId="4" xfId="1" applyFont="1" applyBorder="1" applyAlignment="1">
      <alignment horizontal="center" vertical="center" wrapText="1"/>
    </xf>
    <xf numFmtId="0" fontId="12" fillId="2" borderId="1" xfId="1" applyFont="1" applyBorder="1" applyAlignment="1">
      <alignment horizontal="center" vertical="center" wrapText="1"/>
    </xf>
    <xf numFmtId="9" fontId="12" fillId="2" borderId="1" xfId="1" applyNumberFormat="1" applyFont="1" applyBorder="1" applyAlignment="1">
      <alignment horizontal="center" vertical="center"/>
    </xf>
    <xf numFmtId="9" fontId="12" fillId="2" borderId="1" xfId="1" applyNumberFormat="1" applyFont="1" applyBorder="1" applyAlignment="1">
      <alignment horizontal="center" vertical="center" wrapText="1"/>
    </xf>
    <xf numFmtId="9" fontId="12" fillId="2" borderId="19" xfId="1" applyNumberFormat="1" applyFont="1" applyBorder="1" applyAlignment="1">
      <alignment horizontal="center" vertical="center"/>
    </xf>
    <xf numFmtId="0" fontId="12" fillId="2" borderId="19" xfId="1" applyFont="1" applyBorder="1" applyAlignment="1">
      <alignment horizontal="center" vertical="center"/>
    </xf>
    <xf numFmtId="0" fontId="12" fillId="2" borderId="33" xfId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85" fontId="13" fillId="0" borderId="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85" fontId="13" fillId="4" borderId="7" xfId="0" applyNumberFormat="1" applyFont="1" applyFill="1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9" fontId="12" fillId="2" borderId="19" xfId="1" applyNumberFormat="1" applyFont="1" applyBorder="1" applyAlignment="1">
      <alignment horizontal="center" vertical="center"/>
    </xf>
    <xf numFmtId="0" fontId="12" fillId="2" borderId="19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6" fillId="0" borderId="62" xfId="0" applyNumberFormat="1" applyFont="1" applyBorder="1" applyAlignment="1">
      <alignment horizontal="center" vertical="center"/>
    </xf>
    <xf numFmtId="0" fontId="16" fillId="0" borderId="63" xfId="0" applyNumberFormat="1" applyFont="1" applyBorder="1" applyAlignment="1">
      <alignment horizontal="center" vertical="center"/>
    </xf>
    <xf numFmtId="0" fontId="16" fillId="0" borderId="65" xfId="0" applyNumberFormat="1" applyFont="1" applyBorder="1" applyAlignment="1">
      <alignment horizontal="center" vertical="center"/>
    </xf>
    <xf numFmtId="9" fontId="16" fillId="0" borderId="67" xfId="0" applyNumberFormat="1" applyFont="1" applyBorder="1" applyAlignment="1">
      <alignment horizontal="center" vertical="center"/>
    </xf>
    <xf numFmtId="9" fontId="3" fillId="6" borderId="23" xfId="6" applyNumberFormat="1" applyFont="1" applyBorder="1" applyAlignment="1">
      <alignment horizontal="center" vertical="center"/>
    </xf>
    <xf numFmtId="0" fontId="3" fillId="6" borderId="24" xfId="6" applyFont="1" applyBorder="1" applyAlignment="1">
      <alignment horizontal="center" vertical="center"/>
    </xf>
    <xf numFmtId="0" fontId="4" fillId="7" borderId="72" xfId="7" applyFont="1" applyBorder="1" applyAlignment="1">
      <alignment horizontal="center" vertical="center"/>
    </xf>
    <xf numFmtId="9" fontId="7" fillId="7" borderId="71" xfId="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7" borderId="73" xfId="7" applyFont="1" applyBorder="1" applyAlignment="1">
      <alignment horizontal="center" vertical="center"/>
    </xf>
    <xf numFmtId="0" fontId="7" fillId="7" borderId="59" xfId="7" applyFont="1" applyBorder="1" applyAlignment="1">
      <alignment horizontal="center" vertical="center" wrapText="1"/>
    </xf>
    <xf numFmtId="9" fontId="3" fillId="6" borderId="25" xfId="6" applyNumberFormat="1" applyFont="1" applyBorder="1" applyAlignment="1">
      <alignment horizontal="center" vertical="center"/>
    </xf>
    <xf numFmtId="0" fontId="3" fillId="6" borderId="26" xfId="6" applyFont="1" applyBorder="1" applyAlignment="1">
      <alignment horizontal="center" vertical="center"/>
    </xf>
    <xf numFmtId="9" fontId="16" fillId="0" borderId="62" xfId="0" applyNumberFormat="1" applyFont="1" applyBorder="1" applyAlignment="1">
      <alignment horizontal="center" vertical="center"/>
    </xf>
    <xf numFmtId="187" fontId="15" fillId="0" borderId="1" xfId="3" applyNumberFormat="1" applyFont="1" applyBorder="1" applyAlignment="1">
      <alignment horizontal="center" vertical="center"/>
    </xf>
    <xf numFmtId="187" fontId="15" fillId="0" borderId="1" xfId="0" applyNumberFormat="1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4" fillId="7" borderId="19" xfId="7" applyFont="1" applyBorder="1" applyAlignment="1">
      <alignment horizontal="center" vertical="center"/>
    </xf>
    <xf numFmtId="181" fontId="4" fillId="7" borderId="19" xfId="7" applyNumberFormat="1" applyFont="1" applyBorder="1" applyAlignment="1">
      <alignment horizontal="center" vertical="center"/>
    </xf>
    <xf numFmtId="0" fontId="24" fillId="7" borderId="59" xfId="7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9" fontId="25" fillId="0" borderId="67" xfId="0" applyNumberFormat="1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3" fillId="7" borderId="82" xfId="7" applyFont="1" applyBorder="1" applyAlignment="1">
      <alignment horizontal="center" vertical="center"/>
    </xf>
    <xf numFmtId="0" fontId="4" fillId="7" borderId="81" xfId="7" applyFont="1" applyBorder="1" applyAlignment="1">
      <alignment horizontal="center" vertical="center"/>
    </xf>
    <xf numFmtId="181" fontId="1" fillId="5" borderId="67" xfId="5" applyNumberFormat="1" applyBorder="1" applyAlignment="1">
      <alignment horizontal="center" vertical="center"/>
    </xf>
    <xf numFmtId="9" fontId="4" fillId="7" borderId="67" xfId="7" applyNumberFormat="1" applyFont="1" applyBorder="1" applyAlignment="1">
      <alignment horizontal="center" vertical="center"/>
    </xf>
    <xf numFmtId="0" fontId="4" fillId="7" borderId="83" xfId="7" applyFont="1" applyBorder="1" applyAlignment="1">
      <alignment horizontal="center" vertical="center"/>
    </xf>
    <xf numFmtId="0" fontId="1" fillId="5" borderId="7" xfId="5" applyBorder="1" applyAlignment="1">
      <alignment horizontal="center" vertical="center" wrapText="1"/>
    </xf>
    <xf numFmtId="0" fontId="3" fillId="5" borderId="7" xfId="5" applyFont="1" applyBorder="1" applyAlignment="1">
      <alignment horizontal="center" vertical="center"/>
    </xf>
    <xf numFmtId="182" fontId="3" fillId="5" borderId="7" xfId="5" applyNumberFormat="1" applyFont="1" applyBorder="1" applyAlignment="1">
      <alignment horizontal="center" vertical="center"/>
    </xf>
    <xf numFmtId="178" fontId="3" fillId="5" borderId="7" xfId="5" applyNumberFormat="1" applyFont="1" applyBorder="1" applyAlignment="1">
      <alignment horizontal="center" vertical="center"/>
    </xf>
    <xf numFmtId="9" fontId="3" fillId="5" borderId="7" xfId="5" applyNumberFormat="1" applyFont="1" applyBorder="1" applyAlignment="1">
      <alignment horizontal="center" vertical="center"/>
    </xf>
    <xf numFmtId="0" fontId="3" fillId="5" borderId="9" xfId="5" applyFont="1" applyBorder="1" applyAlignment="1">
      <alignment horizontal="center" vertical="center"/>
    </xf>
    <xf numFmtId="0" fontId="9" fillId="2" borderId="14" xfId="1" applyFont="1" applyBorder="1" applyAlignment="1">
      <alignment horizontal="center" vertical="center"/>
    </xf>
    <xf numFmtId="0" fontId="9" fillId="2" borderId="14" xfId="1" applyFont="1" applyBorder="1" applyAlignment="1">
      <alignment horizontal="center" vertical="center" wrapText="1"/>
    </xf>
    <xf numFmtId="0" fontId="16" fillId="0" borderId="84" xfId="0" applyFont="1" applyBorder="1" applyAlignment="1">
      <alignment vertical="center"/>
    </xf>
    <xf numFmtId="9" fontId="16" fillId="0" borderId="84" xfId="0" applyNumberFormat="1" applyFont="1" applyBorder="1" applyAlignment="1">
      <alignment horizontal="center" vertical="center"/>
    </xf>
    <xf numFmtId="41" fontId="16" fillId="0" borderId="84" xfId="3" applyFont="1" applyBorder="1" applyAlignment="1">
      <alignment horizontal="center" vertical="center"/>
    </xf>
    <xf numFmtId="9" fontId="16" fillId="0" borderId="84" xfId="4" applyFont="1" applyFill="1" applyBorder="1" applyAlignment="1">
      <alignment vertical="center"/>
    </xf>
    <xf numFmtId="178" fontId="1" fillId="6" borderId="9" xfId="6" applyNumberFormat="1" applyBorder="1" applyAlignment="1">
      <alignment horizontal="center" vertical="center"/>
    </xf>
    <xf numFmtId="0" fontId="23" fillId="7" borderId="8" xfId="7" applyNumberFormat="1" applyFont="1" applyBorder="1" applyAlignment="1">
      <alignment horizontal="center" vertical="center"/>
    </xf>
    <xf numFmtId="41" fontId="25" fillId="0" borderId="22" xfId="3" applyFont="1" applyBorder="1" applyAlignment="1">
      <alignment horizontal="center" vertical="center"/>
    </xf>
    <xf numFmtId="0" fontId="21" fillId="7" borderId="37" xfId="7" applyBorder="1" applyAlignment="1">
      <alignment horizontal="center" vertical="center"/>
    </xf>
    <xf numFmtId="0" fontId="4" fillId="7" borderId="55" xfId="7" applyFont="1" applyBorder="1" applyAlignment="1">
      <alignment horizontal="center" vertical="center"/>
    </xf>
    <xf numFmtId="0" fontId="4" fillId="7" borderId="59" xfId="7" applyFont="1" applyBorder="1" applyAlignment="1">
      <alignment horizontal="center" vertical="center" wrapText="1"/>
    </xf>
    <xf numFmtId="0" fontId="4" fillId="7" borderId="31" xfId="7" applyFont="1" applyBorder="1" applyAlignment="1">
      <alignment horizontal="center" vertical="center" wrapText="1"/>
    </xf>
    <xf numFmtId="0" fontId="4" fillId="7" borderId="19" xfId="7" applyFont="1" applyBorder="1" applyAlignment="1">
      <alignment horizontal="center" vertical="center" wrapText="1"/>
    </xf>
    <xf numFmtId="9" fontId="4" fillId="7" borderId="20" xfId="7" applyNumberFormat="1" applyFont="1" applyBorder="1" applyAlignment="1">
      <alignment horizontal="center" vertical="center"/>
    </xf>
    <xf numFmtId="41" fontId="1" fillId="5" borderId="19" xfId="5" applyNumberFormat="1" applyBorder="1" applyAlignment="1">
      <alignment horizontal="center" vertical="center"/>
    </xf>
    <xf numFmtId="181" fontId="3" fillId="6" borderId="29" xfId="6" applyNumberFormat="1" applyFont="1" applyBorder="1" applyAlignment="1">
      <alignment horizontal="center" vertical="center"/>
    </xf>
    <xf numFmtId="41" fontId="3" fillId="6" borderId="29" xfId="6" applyNumberFormat="1" applyFont="1" applyBorder="1" applyAlignment="1">
      <alignment horizontal="center" vertical="center"/>
    </xf>
    <xf numFmtId="0" fontId="3" fillId="5" borderId="15" xfId="5" applyFont="1" applyBorder="1" applyAlignment="1">
      <alignment horizontal="center" vertical="center"/>
    </xf>
    <xf numFmtId="181" fontId="3" fillId="6" borderId="15" xfId="6" applyNumberFormat="1" applyFont="1" applyBorder="1" applyAlignment="1">
      <alignment horizontal="center" vertical="center"/>
    </xf>
    <xf numFmtId="41" fontId="3" fillId="6" borderId="15" xfId="6" applyNumberFormat="1" applyFont="1" applyBorder="1" applyAlignment="1">
      <alignment horizontal="center" vertical="center"/>
    </xf>
    <xf numFmtId="0" fontId="1" fillId="6" borderId="75" xfId="6" applyBorder="1" applyAlignment="1">
      <alignment horizontal="center" vertical="center" wrapText="1"/>
    </xf>
    <xf numFmtId="0" fontId="3" fillId="6" borderId="23" xfId="6" applyFont="1" applyBorder="1" applyAlignment="1">
      <alignment horizontal="center" vertical="center"/>
    </xf>
    <xf numFmtId="0" fontId="3" fillId="6" borderId="25" xfId="6" applyFont="1" applyBorder="1" applyAlignment="1">
      <alignment horizontal="center" vertical="center"/>
    </xf>
    <xf numFmtId="181" fontId="3" fillId="6" borderId="25" xfId="6" applyNumberFormat="1" applyFont="1" applyBorder="1" applyAlignment="1">
      <alignment horizontal="center" vertical="center"/>
    </xf>
    <xf numFmtId="0" fontId="1" fillId="6" borderId="18" xfId="6" applyBorder="1" applyAlignment="1">
      <alignment horizontal="center" vertical="center" wrapText="1"/>
    </xf>
    <xf numFmtId="181" fontId="3" fillId="6" borderId="23" xfId="6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9" fontId="16" fillId="0" borderId="62" xfId="4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 wrapText="1"/>
    </xf>
    <xf numFmtId="41" fontId="25" fillId="0" borderId="1" xfId="0" applyNumberFormat="1" applyFont="1" applyBorder="1" applyAlignment="1">
      <alignment horizontal="center" vertical="center"/>
    </xf>
    <xf numFmtId="41" fontId="25" fillId="0" borderId="27" xfId="0" applyNumberFormat="1" applyFont="1" applyBorder="1" applyAlignment="1">
      <alignment horizontal="center" vertical="center"/>
    </xf>
    <xf numFmtId="41" fontId="25" fillId="0" borderId="7" xfId="0" applyNumberFormat="1" applyFont="1" applyBorder="1" applyAlignment="1">
      <alignment horizontal="center" vertical="center"/>
    </xf>
    <xf numFmtId="14" fontId="16" fillId="0" borderId="88" xfId="0" applyNumberFormat="1" applyFont="1" applyBorder="1" applyAlignment="1">
      <alignment horizontal="center" vertical="center"/>
    </xf>
    <xf numFmtId="14" fontId="16" fillId="0" borderId="89" xfId="0" applyNumberFormat="1" applyFont="1" applyBorder="1" applyAlignment="1">
      <alignment horizontal="center" vertical="center"/>
    </xf>
    <xf numFmtId="0" fontId="12" fillId="2" borderId="49" xfId="1" applyFont="1" applyBorder="1" applyAlignment="1">
      <alignment horizontal="center" vertical="center" wrapText="1"/>
    </xf>
    <xf numFmtId="0" fontId="12" fillId="2" borderId="14" xfId="1" applyFont="1" applyBorder="1" applyAlignment="1">
      <alignment horizontal="center" vertical="center" wrapText="1"/>
    </xf>
    <xf numFmtId="0" fontId="12" fillId="2" borderId="14" xfId="1" applyFont="1" applyBorder="1" applyAlignment="1">
      <alignment horizontal="center" vertical="center"/>
    </xf>
    <xf numFmtId="0" fontId="12" fillId="2" borderId="43" xfId="1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 wrapText="1"/>
    </xf>
    <xf numFmtId="183" fontId="16" fillId="0" borderId="84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83" fontId="16" fillId="0" borderId="62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183" fontId="16" fillId="0" borderId="67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176" fontId="16" fillId="0" borderId="62" xfId="3" applyNumberFormat="1" applyFont="1" applyBorder="1" applyAlignment="1">
      <alignment horizontal="center" vertical="center"/>
    </xf>
    <xf numFmtId="176" fontId="16" fillId="0" borderId="67" xfId="3" applyNumberFormat="1" applyFont="1" applyBorder="1" applyAlignment="1">
      <alignment horizontal="center" vertical="center"/>
    </xf>
    <xf numFmtId="176" fontId="23" fillId="7" borderId="84" xfId="7" applyNumberFormat="1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188" fontId="16" fillId="0" borderId="62" xfId="0" applyNumberFormat="1" applyFont="1" applyBorder="1" applyAlignment="1">
      <alignment horizontal="center" vertical="center" wrapText="1"/>
    </xf>
    <xf numFmtId="188" fontId="16" fillId="0" borderId="62" xfId="3" applyNumberFormat="1" applyFont="1" applyBorder="1" applyAlignment="1">
      <alignment horizontal="center" vertical="center"/>
    </xf>
    <xf numFmtId="188" fontId="16" fillId="0" borderId="67" xfId="0" applyNumberFormat="1" applyFont="1" applyBorder="1" applyAlignment="1">
      <alignment horizontal="center" vertical="center" wrapText="1"/>
    </xf>
    <xf numFmtId="188" fontId="16" fillId="0" borderId="67" xfId="3" applyNumberFormat="1" applyFont="1" applyBorder="1" applyAlignment="1">
      <alignment horizontal="center" vertical="center"/>
    </xf>
    <xf numFmtId="188" fontId="16" fillId="0" borderId="61" xfId="0" applyNumberFormat="1" applyFont="1" applyBorder="1" applyAlignment="1">
      <alignment horizontal="center" vertical="center" wrapText="1"/>
    </xf>
    <xf numFmtId="188" fontId="16" fillId="0" borderId="63" xfId="0" applyNumberFormat="1" applyFont="1" applyBorder="1" applyAlignment="1">
      <alignment horizontal="center" vertical="center"/>
    </xf>
    <xf numFmtId="188" fontId="16" fillId="0" borderId="68" xfId="0" applyNumberFormat="1" applyFont="1" applyBorder="1" applyAlignment="1">
      <alignment horizontal="center" vertical="center"/>
    </xf>
    <xf numFmtId="176" fontId="22" fillId="7" borderId="84" xfId="7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9" fontId="15" fillId="0" borderId="22" xfId="4" applyFont="1" applyBorder="1" applyAlignment="1">
      <alignment vertical="center"/>
    </xf>
    <xf numFmtId="9" fontId="15" fillId="0" borderId="53" xfId="4" applyFont="1" applyBorder="1" applyAlignment="1">
      <alignment vertical="center"/>
    </xf>
    <xf numFmtId="0" fontId="26" fillId="2" borderId="14" xfId="1" applyFont="1" applyBorder="1" applyAlignment="1">
      <alignment horizontal="center" vertical="center" wrapText="1"/>
    </xf>
    <xf numFmtId="184" fontId="16" fillId="0" borderId="63" xfId="3" applyNumberFormat="1" applyFont="1" applyBorder="1" applyAlignment="1">
      <alignment horizontal="center" vertical="center"/>
    </xf>
    <xf numFmtId="184" fontId="16" fillId="0" borderId="65" xfId="3" applyNumberFormat="1" applyFont="1" applyBorder="1" applyAlignment="1">
      <alignment horizontal="center" vertical="center"/>
    </xf>
    <xf numFmtId="184" fontId="16" fillId="0" borderId="68" xfId="3" applyNumberFormat="1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41" fontId="16" fillId="0" borderId="61" xfId="3" applyFont="1" applyBorder="1" applyAlignment="1">
      <alignment horizontal="center" vertical="center"/>
    </xf>
    <xf numFmtId="41" fontId="16" fillId="0" borderId="63" xfId="3" applyFont="1" applyBorder="1" applyAlignment="1">
      <alignment horizontal="center" vertical="center"/>
    </xf>
    <xf numFmtId="41" fontId="16" fillId="0" borderId="64" xfId="3" applyFont="1" applyBorder="1" applyAlignment="1">
      <alignment horizontal="center" vertical="center"/>
    </xf>
    <xf numFmtId="41" fontId="16" fillId="0" borderId="65" xfId="3" applyFont="1" applyBorder="1" applyAlignment="1">
      <alignment horizontal="center" vertical="center"/>
    </xf>
    <xf numFmtId="41" fontId="16" fillId="0" borderId="66" xfId="3" applyFont="1" applyBorder="1" applyAlignment="1">
      <alignment horizontal="center" vertical="center"/>
    </xf>
    <xf numFmtId="41" fontId="16" fillId="0" borderId="68" xfId="3" applyFont="1" applyBorder="1" applyAlignment="1">
      <alignment horizontal="center" vertical="center"/>
    </xf>
    <xf numFmtId="0" fontId="3" fillId="6" borderId="7" xfId="6" applyFont="1" applyBorder="1">
      <alignment vertical="center"/>
    </xf>
    <xf numFmtId="0" fontId="3" fillId="5" borderId="1" xfId="5" applyFont="1" applyBorder="1" applyAlignment="1">
      <alignment vertical="center"/>
    </xf>
    <xf numFmtId="184" fontId="3" fillId="5" borderId="15" xfId="5" applyNumberFormat="1" applyFont="1" applyBorder="1" applyAlignment="1">
      <alignment horizontal="center" vertical="center"/>
    </xf>
    <xf numFmtId="178" fontId="3" fillId="5" borderId="15" xfId="5" applyNumberFormat="1" applyFont="1" applyBorder="1" applyAlignment="1">
      <alignment horizontal="center" vertical="center"/>
    </xf>
    <xf numFmtId="10" fontId="3" fillId="5" borderId="8" xfId="5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" fillId="5" borderId="6" xfId="5" applyBorder="1" applyAlignment="1">
      <alignment horizontal="center" vertical="center"/>
    </xf>
    <xf numFmtId="0" fontId="7" fillId="7" borderId="0" xfId="7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/>
    </xf>
    <xf numFmtId="9" fontId="16" fillId="0" borderId="98" xfId="0" applyNumberFormat="1" applyFont="1" applyBorder="1" applyAlignment="1">
      <alignment horizontal="center" vertical="center" wrapText="1"/>
    </xf>
    <xf numFmtId="9" fontId="16" fillId="0" borderId="98" xfId="0" applyNumberFormat="1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9" fontId="16" fillId="0" borderId="100" xfId="0" applyNumberFormat="1" applyFont="1" applyBorder="1" applyAlignment="1">
      <alignment horizontal="center" vertical="center" wrapText="1"/>
    </xf>
    <xf numFmtId="9" fontId="16" fillId="0" borderId="100" xfId="0" applyNumberFormat="1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9" fontId="16" fillId="0" borderId="103" xfId="0" applyNumberFormat="1" applyFont="1" applyBorder="1" applyAlignment="1">
      <alignment horizontal="center" vertical="center" wrapText="1"/>
    </xf>
    <xf numFmtId="9" fontId="16" fillId="0" borderId="103" xfId="0" applyNumberFormat="1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9" fontId="16" fillId="0" borderId="106" xfId="0" applyNumberFormat="1" applyFont="1" applyBorder="1" applyAlignment="1">
      <alignment horizontal="center" vertical="center" wrapText="1"/>
    </xf>
    <xf numFmtId="9" fontId="16" fillId="0" borderId="106" xfId="0" applyNumberFormat="1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62" xfId="3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 wrapText="1"/>
    </xf>
    <xf numFmtId="0" fontId="12" fillId="2" borderId="4" xfId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/>
    </xf>
    <xf numFmtId="0" fontId="12" fillId="2" borderId="19" xfId="1" applyFont="1" applyBorder="1" applyAlignment="1">
      <alignment horizontal="center" vertical="center"/>
    </xf>
    <xf numFmtId="0" fontId="12" fillId="2" borderId="19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16" fillId="0" borderId="1" xfId="3" applyFont="1" applyBorder="1" applyAlignment="1">
      <alignment horizontal="center" vertical="center"/>
    </xf>
    <xf numFmtId="41" fontId="16" fillId="0" borderId="62" xfId="3" applyFont="1" applyBorder="1" applyAlignment="1">
      <alignment horizontal="center" vertical="center"/>
    </xf>
    <xf numFmtId="41" fontId="16" fillId="0" borderId="67" xfId="3" applyFont="1" applyBorder="1" applyAlignment="1">
      <alignment horizontal="center" vertical="center"/>
    </xf>
    <xf numFmtId="0" fontId="12" fillId="2" borderId="15" xfId="1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189" fontId="13" fillId="0" borderId="1" xfId="0" applyNumberFormat="1" applyFont="1" applyBorder="1" applyAlignment="1">
      <alignment horizontal="center" vertical="center"/>
    </xf>
    <xf numFmtId="189" fontId="13" fillId="0" borderId="7" xfId="0" applyNumberFormat="1" applyFont="1" applyFill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3" fillId="5" borderId="15" xfId="5" applyFont="1" applyBorder="1" applyAlignment="1">
      <alignment vertical="center"/>
    </xf>
    <xf numFmtId="0" fontId="12" fillId="2" borderId="42" xfId="1" applyNumberFormat="1" applyFont="1" applyBorder="1" applyAlignment="1">
      <alignment vertical="center" wrapText="1"/>
    </xf>
    <xf numFmtId="0" fontId="3" fillId="6" borderId="9" xfId="6" applyFont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center" vertical="center"/>
    </xf>
    <xf numFmtId="9" fontId="16" fillId="0" borderId="62" xfId="4" applyFont="1" applyFill="1" applyBorder="1" applyAlignment="1">
      <alignment horizontal="center" vertical="center"/>
    </xf>
    <xf numFmtId="41" fontId="16" fillId="0" borderId="63" xfId="3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41" fontId="16" fillId="0" borderId="65" xfId="3" applyFont="1" applyFill="1" applyBorder="1" applyAlignment="1">
      <alignment horizontal="center" vertical="center"/>
    </xf>
    <xf numFmtId="0" fontId="16" fillId="0" borderId="66" xfId="0" applyNumberFormat="1" applyFont="1" applyFill="1" applyBorder="1" applyAlignment="1">
      <alignment horizontal="center" vertical="center"/>
    </xf>
    <xf numFmtId="9" fontId="16" fillId="0" borderId="67" xfId="4" applyFont="1" applyFill="1" applyBorder="1" applyAlignment="1">
      <alignment horizontal="center" vertical="center"/>
    </xf>
    <xf numFmtId="41" fontId="16" fillId="0" borderId="68" xfId="3" applyFont="1" applyFill="1" applyBorder="1" applyAlignment="1">
      <alignment horizontal="center" vertical="center"/>
    </xf>
    <xf numFmtId="9" fontId="16" fillId="0" borderId="63" xfId="4" applyFont="1" applyFill="1" applyBorder="1" applyAlignment="1">
      <alignment horizontal="center" vertical="center"/>
    </xf>
    <xf numFmtId="9" fontId="16" fillId="0" borderId="65" xfId="4" applyFont="1" applyFill="1" applyBorder="1" applyAlignment="1">
      <alignment horizontal="center" vertical="center"/>
    </xf>
    <xf numFmtId="9" fontId="16" fillId="0" borderId="68" xfId="4" applyFont="1" applyFill="1" applyBorder="1" applyAlignment="1">
      <alignment horizontal="center" vertical="center"/>
    </xf>
    <xf numFmtId="41" fontId="15" fillId="0" borderId="41" xfId="3" applyFont="1" applyFill="1" applyBorder="1" applyAlignment="1">
      <alignment horizontal="center" vertical="center"/>
    </xf>
    <xf numFmtId="0" fontId="12" fillId="2" borderId="23" xfId="1" applyNumberFormat="1" applyFont="1" applyBorder="1" applyAlignment="1">
      <alignment horizontal="center" vertical="center" wrapText="1"/>
    </xf>
    <xf numFmtId="14" fontId="16" fillId="0" borderId="61" xfId="3" applyNumberFormat="1" applyFont="1" applyFill="1" applyBorder="1" applyAlignment="1">
      <alignment horizontal="center" vertical="center"/>
    </xf>
    <xf numFmtId="14" fontId="16" fillId="0" borderId="63" xfId="3" applyNumberFormat="1" applyFont="1" applyFill="1" applyBorder="1" applyAlignment="1">
      <alignment horizontal="center" vertical="center"/>
    </xf>
    <xf numFmtId="14" fontId="16" fillId="0" borderId="64" xfId="3" applyNumberFormat="1" applyFont="1" applyFill="1" applyBorder="1" applyAlignment="1">
      <alignment horizontal="center" vertical="center"/>
    </xf>
    <xf numFmtId="14" fontId="16" fillId="0" borderId="65" xfId="3" applyNumberFormat="1" applyFont="1" applyFill="1" applyBorder="1" applyAlignment="1">
      <alignment horizontal="center" vertical="center"/>
    </xf>
    <xf numFmtId="14" fontId="16" fillId="0" borderId="66" xfId="3" applyNumberFormat="1" applyFont="1" applyFill="1" applyBorder="1" applyAlignment="1">
      <alignment horizontal="center" vertical="center"/>
    </xf>
    <xf numFmtId="14" fontId="16" fillId="0" borderId="68" xfId="3" applyNumberFormat="1" applyFont="1" applyFill="1" applyBorder="1" applyAlignment="1">
      <alignment horizontal="center" vertical="center"/>
    </xf>
    <xf numFmtId="185" fontId="15" fillId="0" borderId="41" xfId="3" applyNumberFormat="1" applyFont="1" applyFill="1" applyBorder="1" applyAlignment="1">
      <alignment horizontal="center" vertical="center"/>
    </xf>
    <xf numFmtId="190" fontId="15" fillId="0" borderId="41" xfId="3" applyNumberFormat="1" applyFont="1" applyFill="1" applyBorder="1" applyAlignment="1">
      <alignment horizontal="center" vertical="center"/>
    </xf>
    <xf numFmtId="9" fontId="13" fillId="0" borderId="22" xfId="4" applyFont="1" applyBorder="1" applyAlignment="1">
      <alignment horizontal="center" vertical="center"/>
    </xf>
    <xf numFmtId="179" fontId="16" fillId="0" borderId="61" xfId="3" applyNumberFormat="1" applyFont="1" applyFill="1" applyBorder="1" applyAlignment="1">
      <alignment horizontal="center" vertical="center"/>
    </xf>
    <xf numFmtId="0" fontId="16" fillId="0" borderId="63" xfId="0" applyNumberFormat="1" applyFont="1" applyFill="1" applyBorder="1" applyAlignment="1">
      <alignment horizontal="center" vertical="center"/>
    </xf>
    <xf numFmtId="179" fontId="16" fillId="0" borderId="64" xfId="3" applyNumberFormat="1" applyFont="1" applyFill="1" applyBorder="1" applyAlignment="1">
      <alignment horizontal="center" vertical="center"/>
    </xf>
    <xf numFmtId="0" fontId="16" fillId="0" borderId="65" xfId="0" applyNumberFormat="1" applyFont="1" applyFill="1" applyBorder="1" applyAlignment="1">
      <alignment horizontal="center" vertical="center"/>
    </xf>
    <xf numFmtId="179" fontId="16" fillId="0" borderId="66" xfId="3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/>
    </xf>
    <xf numFmtId="178" fontId="13" fillId="0" borderId="22" xfId="4" applyNumberFormat="1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 wrapText="1"/>
    </xf>
    <xf numFmtId="0" fontId="12" fillId="2" borderId="1" xfId="1" applyFont="1" applyBorder="1" applyAlignment="1">
      <alignment horizontal="center" vertical="center" wrapText="1"/>
    </xf>
    <xf numFmtId="0" fontId="12" fillId="2" borderId="19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2" fillId="2" borderId="12" xfId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0" fontId="12" fillId="2" borderId="15" xfId="1" applyFont="1" applyBorder="1" applyAlignment="1">
      <alignment horizontal="center" vertical="center"/>
    </xf>
    <xf numFmtId="9" fontId="12" fillId="2" borderId="1" xfId="1" applyNumberFormat="1" applyFont="1" applyBorder="1" applyAlignment="1">
      <alignment horizontal="center" vertical="center"/>
    </xf>
    <xf numFmtId="9" fontId="12" fillId="2" borderId="19" xfId="1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2" fillId="2" borderId="1" xfId="1" applyFont="1" applyBorder="1" applyAlignment="1">
      <alignment horizontal="center" vertical="center" wrapText="1"/>
    </xf>
    <xf numFmtId="0" fontId="12" fillId="2" borderId="19" xfId="1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9" fontId="12" fillId="2" borderId="19" xfId="1" applyNumberFormat="1" applyFont="1" applyBorder="1" applyAlignment="1">
      <alignment horizontal="center" vertical="center"/>
    </xf>
    <xf numFmtId="9" fontId="12" fillId="2" borderId="1" xfId="1" applyNumberFormat="1" applyFont="1" applyBorder="1" applyAlignment="1">
      <alignment horizontal="center" vertical="center"/>
    </xf>
    <xf numFmtId="9" fontId="16" fillId="0" borderId="19" xfId="0" applyNumberFormat="1" applyFont="1" applyBorder="1" applyAlignment="1">
      <alignment horizontal="center" vertical="center"/>
    </xf>
    <xf numFmtId="9" fontId="16" fillId="0" borderId="69" xfId="0" applyNumberFormat="1" applyFont="1" applyBorder="1" applyAlignment="1">
      <alignment horizontal="center" vertical="center" wrapText="1"/>
    </xf>
    <xf numFmtId="9" fontId="16" fillId="0" borderId="19" xfId="0" applyNumberFormat="1" applyFont="1" applyBorder="1" applyAlignment="1">
      <alignment horizontal="center"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9" fillId="2" borderId="14" xfId="1" applyFont="1" applyBorder="1" applyAlignment="1">
      <alignment horizontal="center" vertical="center" wrapText="1"/>
    </xf>
    <xf numFmtId="41" fontId="16" fillId="0" borderId="67" xfId="3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6" fillId="0" borderId="100" xfId="0" applyNumberFormat="1" applyFont="1" applyBorder="1" applyAlignment="1">
      <alignment horizontal="center" vertical="center"/>
    </xf>
    <xf numFmtId="14" fontId="16" fillId="0" borderId="103" xfId="0" applyNumberFormat="1" applyFont="1" applyBorder="1" applyAlignment="1">
      <alignment horizontal="center" vertical="center"/>
    </xf>
    <xf numFmtId="14" fontId="16" fillId="0" borderId="106" xfId="0" applyNumberFormat="1" applyFont="1" applyBorder="1" applyAlignment="1">
      <alignment horizontal="center" vertical="center"/>
    </xf>
    <xf numFmtId="41" fontId="16" fillId="0" borderId="62" xfId="3" applyFont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185" fontId="14" fillId="10" borderId="1" xfId="0" applyNumberFormat="1" applyFont="1" applyFill="1" applyBorder="1" applyAlignment="1">
      <alignment horizontal="center" vertical="center"/>
    </xf>
    <xf numFmtId="185" fontId="13" fillId="10" borderId="1" xfId="0" applyNumberFormat="1" applyFont="1" applyFill="1" applyBorder="1" applyAlignment="1">
      <alignment horizontal="center" vertical="center"/>
    </xf>
    <xf numFmtId="185" fontId="14" fillId="11" borderId="1" xfId="3" applyNumberFormat="1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185" fontId="13" fillId="11" borderId="1" xfId="0" applyNumberFormat="1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185" fontId="14" fillId="11" borderId="1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185" fontId="14" fillId="9" borderId="7" xfId="0" applyNumberFormat="1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183" fontId="15" fillId="0" borderId="1" xfId="3" applyNumberFormat="1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14" fontId="5" fillId="0" borderId="0" xfId="0" applyNumberFormat="1" applyFont="1" applyBorder="1">
      <alignment vertical="center"/>
    </xf>
    <xf numFmtId="0" fontId="12" fillId="2" borderId="1" xfId="1" applyFont="1" applyBorder="1" applyAlignment="1">
      <alignment horizontal="center" vertical="center" wrapText="1"/>
    </xf>
    <xf numFmtId="0" fontId="12" fillId="2" borderId="1" xfId="1" applyFont="1" applyBorder="1" applyAlignment="1">
      <alignment horizontal="center" vertical="center"/>
    </xf>
    <xf numFmtId="0" fontId="12" fillId="2" borderId="60" xfId="1" applyFont="1" applyBorder="1" applyAlignment="1">
      <alignment horizontal="center" vertical="center"/>
    </xf>
    <xf numFmtId="0" fontId="12" fillId="2" borderId="19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3" fillId="6" borderId="23" xfId="6" applyFont="1" applyBorder="1" applyAlignment="1">
      <alignment horizontal="center" vertical="center"/>
    </xf>
    <xf numFmtId="9" fontId="12" fillId="2" borderId="1" xfId="1" applyNumberFormat="1" applyFont="1" applyBorder="1" applyAlignment="1">
      <alignment horizontal="center" vertical="center"/>
    </xf>
    <xf numFmtId="9" fontId="12" fillId="2" borderId="19" xfId="1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2" borderId="33" xfId="1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9" fillId="2" borderId="14" xfId="1" applyFont="1" applyBorder="1" applyAlignment="1">
      <alignment horizontal="center" vertical="center" wrapText="1"/>
    </xf>
    <xf numFmtId="41" fontId="16" fillId="0" borderId="1" xfId="3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1" fontId="16" fillId="0" borderId="62" xfId="3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41" fontId="16" fillId="0" borderId="67" xfId="3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2" borderId="19" xfId="1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191" fontId="16" fillId="0" borderId="1" xfId="3" quotePrefix="1" applyNumberFormat="1" applyFont="1" applyBorder="1" applyAlignment="1">
      <alignment horizontal="center" vertical="center"/>
    </xf>
    <xf numFmtId="0" fontId="0" fillId="0" borderId="59" xfId="0" applyBorder="1">
      <alignment vertical="center"/>
    </xf>
    <xf numFmtId="0" fontId="15" fillId="0" borderId="65" xfId="0" applyFont="1" applyBorder="1" applyAlignment="1">
      <alignment horizontal="center" vertical="center" wrapText="1"/>
    </xf>
    <xf numFmtId="9" fontId="30" fillId="0" borderId="67" xfId="0" applyNumberFormat="1" applyFont="1" applyBorder="1" applyAlignment="1">
      <alignment horizontal="center" vertical="center" wrapText="1"/>
    </xf>
    <xf numFmtId="191" fontId="16" fillId="0" borderId="67" xfId="3" quotePrefix="1" applyNumberFormat="1" applyFont="1" applyBorder="1" applyAlignment="1">
      <alignment horizontal="center" vertical="center"/>
    </xf>
    <xf numFmtId="0" fontId="16" fillId="0" borderId="67" xfId="0" applyNumberFormat="1" applyFont="1" applyBorder="1" applyAlignment="1">
      <alignment horizontal="center" vertical="center"/>
    </xf>
    <xf numFmtId="0" fontId="16" fillId="0" borderId="68" xfId="0" applyNumberFormat="1" applyFont="1" applyBorder="1" applyAlignment="1">
      <alignment horizontal="center" vertical="center"/>
    </xf>
    <xf numFmtId="0" fontId="12" fillId="2" borderId="60" xfId="1" applyFont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/>
    </xf>
    <xf numFmtId="183" fontId="15" fillId="12" borderId="1" xfId="3" applyNumberFormat="1" applyFont="1" applyFill="1" applyBorder="1" applyAlignment="1">
      <alignment horizontal="center" vertical="center"/>
    </xf>
    <xf numFmtId="187" fontId="15" fillId="12" borderId="1" xfId="0" applyNumberFormat="1" applyFont="1" applyFill="1" applyBorder="1" applyAlignment="1">
      <alignment horizontal="center" vertical="center"/>
    </xf>
    <xf numFmtId="0" fontId="16" fillId="0" borderId="62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67" xfId="0" applyNumberFormat="1" applyFont="1" applyBorder="1" applyAlignment="1">
      <alignment horizontal="center" vertical="center" wrapText="1"/>
    </xf>
    <xf numFmtId="187" fontId="15" fillId="0" borderId="15" xfId="3" applyNumberFormat="1" applyFont="1" applyBorder="1" applyAlignment="1">
      <alignment horizontal="center" vertical="center"/>
    </xf>
    <xf numFmtId="9" fontId="15" fillId="0" borderId="15" xfId="0" applyNumberFormat="1" applyFont="1" applyBorder="1" applyAlignment="1">
      <alignment horizontal="center" vertical="center"/>
    </xf>
    <xf numFmtId="182" fontId="15" fillId="0" borderId="15" xfId="0" applyNumberFormat="1" applyFont="1" applyBorder="1" applyAlignment="1">
      <alignment horizontal="center" vertical="center"/>
    </xf>
    <xf numFmtId="178" fontId="3" fillId="5" borderId="1" xfId="5" applyNumberFormat="1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 wrapText="1"/>
    </xf>
    <xf numFmtId="9" fontId="16" fillId="0" borderId="23" xfId="0" applyNumberFormat="1" applyFont="1" applyBorder="1" applyAlignment="1">
      <alignment horizontal="center" vertical="center"/>
    </xf>
    <xf numFmtId="41" fontId="16" fillId="0" borderId="23" xfId="3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80" fontId="16" fillId="0" borderId="98" xfId="4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193" fontId="1" fillId="6" borderId="60" xfId="6" applyNumberFormat="1" applyBorder="1" applyAlignment="1">
      <alignment horizontal="center" vertical="center"/>
    </xf>
    <xf numFmtId="186" fontId="13" fillId="0" borderId="1" xfId="3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8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9" fontId="15" fillId="0" borderId="63" xfId="0" applyNumberFormat="1" applyFont="1" applyBorder="1" applyAlignment="1">
      <alignment horizontal="center" vertical="center"/>
    </xf>
    <xf numFmtId="9" fontId="15" fillId="0" borderId="65" xfId="0" applyNumberFormat="1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8" fillId="6" borderId="30" xfId="6" applyNumberFormat="1" applyFont="1" applyBorder="1" applyAlignment="1">
      <alignment horizontal="center" vertical="center"/>
    </xf>
    <xf numFmtId="192" fontId="13" fillId="0" borderId="1" xfId="3" applyNumberFormat="1" applyFont="1" applyBorder="1" applyAlignment="1">
      <alignment horizontal="center" vertical="center"/>
    </xf>
    <xf numFmtId="14" fontId="16" fillId="0" borderId="62" xfId="0" applyNumberFormat="1" applyFont="1" applyBorder="1" applyAlignment="1">
      <alignment horizontal="center" vertical="center"/>
    </xf>
    <xf numFmtId="9" fontId="16" fillId="0" borderId="62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 wrapText="1"/>
    </xf>
    <xf numFmtId="14" fontId="16" fillId="0" borderId="67" xfId="0" applyNumberFormat="1" applyFont="1" applyBorder="1" applyAlignment="1">
      <alignment horizontal="center" vertical="center"/>
    </xf>
    <xf numFmtId="9" fontId="16" fillId="0" borderId="67" xfId="0" applyNumberFormat="1" applyFont="1" applyBorder="1" applyAlignment="1">
      <alignment horizontal="center" vertical="center" wrapText="1"/>
    </xf>
    <xf numFmtId="178" fontId="14" fillId="11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85" fontId="14" fillId="0" borderId="1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8" fontId="14" fillId="10" borderId="1" xfId="0" applyNumberFormat="1" applyFont="1" applyFill="1" applyBorder="1" applyAlignment="1">
      <alignment horizontal="center" vertical="center"/>
    </xf>
    <xf numFmtId="0" fontId="9" fillId="2" borderId="14" xfId="1" applyFont="1" applyBorder="1" applyAlignment="1">
      <alignment horizontal="center" vertical="center"/>
    </xf>
    <xf numFmtId="185" fontId="13" fillId="0" borderId="15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94" fontId="0" fillId="0" borderId="42" xfId="0" applyNumberFormat="1" applyFont="1" applyBorder="1" applyAlignment="1">
      <alignment horizontal="center" vertical="center"/>
    </xf>
    <xf numFmtId="195" fontId="0" fillId="0" borderId="42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94" fontId="0" fillId="0" borderId="57" xfId="0" applyNumberFormat="1" applyFont="1" applyBorder="1" applyAlignment="1">
      <alignment horizontal="center" vertical="center"/>
    </xf>
    <xf numFmtId="195" fontId="0" fillId="0" borderId="57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7" fillId="1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8" fillId="8" borderId="129" xfId="0" applyFont="1" applyFill="1" applyBorder="1" applyAlignment="1">
      <alignment horizontal="center" vertical="center"/>
    </xf>
    <xf numFmtId="0" fontId="34" fillId="0" borderId="13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188" fontId="35" fillId="0" borderId="42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7" fillId="8" borderId="42" xfId="0" applyFont="1" applyFill="1" applyBorder="1" applyAlignment="1">
      <alignment horizontal="center" vertical="center" wrapText="1"/>
    </xf>
    <xf numFmtId="0" fontId="37" fillId="8" borderId="42" xfId="0" applyFont="1" applyFill="1" applyBorder="1" applyAlignment="1">
      <alignment horizontal="center" vertical="center"/>
    </xf>
    <xf numFmtId="0" fontId="34" fillId="0" borderId="42" xfId="0" applyFont="1" applyBorder="1" applyAlignment="1">
      <alignment vertical="center"/>
    </xf>
    <xf numFmtId="0" fontId="34" fillId="0" borderId="57" xfId="0" applyFont="1" applyBorder="1" applyAlignment="1">
      <alignment horizontal="center" vertical="center"/>
    </xf>
    <xf numFmtId="0" fontId="34" fillId="0" borderId="0" xfId="0" applyFont="1" applyAlignment="1"/>
    <xf numFmtId="0" fontId="36" fillId="8" borderId="42" xfId="0" applyFont="1" applyFill="1" applyBorder="1" applyAlignment="1">
      <alignment horizontal="center" vertical="center" textRotation="255"/>
    </xf>
    <xf numFmtId="0" fontId="36" fillId="8" borderId="42" xfId="0" applyFont="1" applyFill="1" applyBorder="1" applyAlignment="1">
      <alignment horizontal="center" vertical="center"/>
    </xf>
    <xf numFmtId="0" fontId="42" fillId="0" borderId="0" xfId="0" applyFont="1" applyAlignment="1"/>
    <xf numFmtId="0" fontId="43" fillId="0" borderId="42" xfId="0" applyFont="1" applyBorder="1" applyAlignment="1">
      <alignment horizontal="center" vertical="center"/>
    </xf>
    <xf numFmtId="0" fontId="43" fillId="14" borderId="4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4" fillId="13" borderId="0" xfId="0" applyFont="1" applyFill="1" applyAlignment="1">
      <alignment vertical="center"/>
    </xf>
    <xf numFmtId="0" fontId="45" fillId="13" borderId="0" xfId="0" applyFont="1" applyFill="1" applyAlignment="1"/>
    <xf numFmtId="0" fontId="3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2" fillId="2" borderId="4" xfId="1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6" fillId="0" borderId="0" xfId="2" applyBorder="1" applyAlignment="1">
      <alignment horizontal="center" vertical="center"/>
    </xf>
    <xf numFmtId="0" fontId="12" fillId="2" borderId="4" xfId="1" applyFont="1" applyBorder="1" applyAlignment="1">
      <alignment horizontal="center" vertical="center" wrapText="1"/>
    </xf>
    <xf numFmtId="0" fontId="12" fillId="2" borderId="15" xfId="1" applyFont="1" applyBorder="1" applyAlignment="1">
      <alignment horizontal="center" vertical="center" wrapText="1"/>
    </xf>
    <xf numFmtId="0" fontId="12" fillId="2" borderId="1" xfId="1" applyFont="1" applyBorder="1" applyAlignment="1">
      <alignment horizontal="center" vertical="center" wrapText="1"/>
    </xf>
    <xf numFmtId="0" fontId="12" fillId="2" borderId="4" xfId="1" applyFont="1" applyBorder="1" applyAlignment="1">
      <alignment horizontal="center" vertical="center"/>
    </xf>
    <xf numFmtId="0" fontId="12" fillId="2" borderId="15" xfId="1" applyFont="1" applyBorder="1" applyAlignment="1">
      <alignment horizontal="center" vertical="center"/>
    </xf>
    <xf numFmtId="0" fontId="12" fillId="2" borderId="1" xfId="1" applyFont="1" applyBorder="1" applyAlignment="1">
      <alignment horizontal="center" vertical="center"/>
    </xf>
    <xf numFmtId="0" fontId="12" fillId="2" borderId="3" xfId="1" applyFont="1" applyBorder="1" applyAlignment="1">
      <alignment horizontal="center" vertical="center"/>
    </xf>
    <xf numFmtId="0" fontId="12" fillId="2" borderId="38" xfId="1" applyFont="1" applyBorder="1" applyAlignment="1">
      <alignment horizontal="center" vertical="center"/>
    </xf>
    <xf numFmtId="0" fontId="12" fillId="2" borderId="5" xfId="1" applyFont="1" applyBorder="1" applyAlignment="1">
      <alignment horizontal="center" vertical="center"/>
    </xf>
    <xf numFmtId="0" fontId="12" fillId="2" borderId="17" xfId="1" applyFont="1" applyBorder="1" applyAlignment="1">
      <alignment horizontal="center" vertical="center"/>
    </xf>
    <xf numFmtId="0" fontId="12" fillId="2" borderId="113" xfId="1" applyFont="1" applyBorder="1" applyAlignment="1">
      <alignment horizontal="center" vertical="center"/>
    </xf>
    <xf numFmtId="0" fontId="12" fillId="2" borderId="12" xfId="1" applyFont="1" applyBorder="1" applyAlignment="1">
      <alignment horizontal="center" vertical="center"/>
    </xf>
    <xf numFmtId="0" fontId="12" fillId="2" borderId="22" xfId="1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2" fillId="2" borderId="10" xfId="1" applyFont="1" applyBorder="1" applyAlignment="1">
      <alignment horizontal="center" vertical="center"/>
    </xf>
    <xf numFmtId="0" fontId="12" fillId="2" borderId="8" xfId="1" applyFont="1" applyBorder="1" applyAlignment="1">
      <alignment horizontal="center" vertical="center"/>
    </xf>
    <xf numFmtId="0" fontId="12" fillId="2" borderId="67" xfId="1" applyFont="1" applyBorder="1" applyAlignment="1">
      <alignment horizontal="center" vertical="center"/>
    </xf>
    <xf numFmtId="0" fontId="12" fillId="2" borderId="19" xfId="1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4" fillId="11" borderId="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2" borderId="10" xfId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" fillId="6" borderId="18" xfId="6" applyBorder="1" applyAlignment="1">
      <alignment horizontal="center" vertical="center"/>
    </xf>
    <xf numFmtId="0" fontId="3" fillId="6" borderId="23" xfId="6" applyFont="1" applyBorder="1" applyAlignment="1">
      <alignment horizontal="center" vertical="center"/>
    </xf>
    <xf numFmtId="181" fontId="3" fillId="6" borderId="23" xfId="6" applyNumberFormat="1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2" fillId="2" borderId="3" xfId="1" applyFont="1" applyBorder="1" applyAlignment="1">
      <alignment horizontal="center" vertical="center" wrapText="1"/>
    </xf>
    <xf numFmtId="0" fontId="12" fillId="2" borderId="37" xfId="1" applyFont="1" applyBorder="1" applyAlignment="1">
      <alignment horizontal="center" vertical="center"/>
    </xf>
    <xf numFmtId="0" fontId="12" fillId="2" borderId="19" xfId="1" applyFont="1" applyBorder="1" applyAlignment="1">
      <alignment horizontal="center" vertical="center"/>
    </xf>
    <xf numFmtId="0" fontId="12" fillId="2" borderId="41" xfId="1" applyFont="1" applyBorder="1" applyAlignment="1">
      <alignment horizontal="center" vertical="center"/>
    </xf>
    <xf numFmtId="9" fontId="12" fillId="2" borderId="1" xfId="1" applyNumberFormat="1" applyFont="1" applyBorder="1" applyAlignment="1">
      <alignment horizontal="center" vertical="center" wrapText="1"/>
    </xf>
    <xf numFmtId="9" fontId="12" fillId="2" borderId="19" xfId="1" applyNumberFormat="1" applyFont="1" applyBorder="1" applyAlignment="1">
      <alignment horizontal="center" vertical="center"/>
    </xf>
    <xf numFmtId="9" fontId="12" fillId="2" borderId="1" xfId="1" applyNumberFormat="1" applyFont="1" applyBorder="1" applyAlignment="1">
      <alignment horizontal="center" vertical="center"/>
    </xf>
    <xf numFmtId="0" fontId="12" fillId="2" borderId="20" xfId="1" applyFont="1" applyBorder="1" applyAlignment="1">
      <alignment horizontal="center" vertical="center"/>
    </xf>
    <xf numFmtId="181" fontId="3" fillId="6" borderId="25" xfId="6" applyNumberFormat="1" applyFont="1" applyBorder="1" applyAlignment="1">
      <alignment horizontal="center" vertical="center"/>
    </xf>
    <xf numFmtId="0" fontId="1" fillId="6" borderId="75" xfId="6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181" fontId="23" fillId="5" borderId="74" xfId="5" applyNumberFormat="1" applyFont="1" applyBorder="1" applyAlignment="1">
      <alignment horizontal="center" vertical="center"/>
    </xf>
    <xf numFmtId="0" fontId="23" fillId="5" borderId="71" xfId="5" applyFont="1" applyBorder="1" applyAlignment="1">
      <alignment horizontal="center" vertical="center"/>
    </xf>
    <xf numFmtId="9" fontId="19" fillId="0" borderId="54" xfId="0" applyNumberFormat="1" applyFont="1" applyBorder="1" applyAlignment="1">
      <alignment horizontal="left" vertical="center"/>
    </xf>
    <xf numFmtId="0" fontId="25" fillId="0" borderId="7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12" fillId="2" borderId="34" xfId="1" applyFont="1" applyBorder="1" applyAlignment="1">
      <alignment horizontal="center" vertical="center"/>
    </xf>
    <xf numFmtId="0" fontId="12" fillId="2" borderId="36" xfId="1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2" borderId="32" xfId="1" applyFont="1" applyBorder="1" applyAlignment="1">
      <alignment horizontal="center" vertical="center"/>
    </xf>
    <xf numFmtId="0" fontId="12" fillId="2" borderId="33" xfId="1" applyFont="1" applyBorder="1" applyAlignment="1">
      <alignment horizontal="center" vertical="center"/>
    </xf>
    <xf numFmtId="0" fontId="12" fillId="2" borderId="35" xfId="1" applyFont="1" applyBorder="1" applyAlignment="1">
      <alignment horizontal="center" vertical="center"/>
    </xf>
    <xf numFmtId="9" fontId="12" fillId="2" borderId="33" xfId="1" applyNumberFormat="1" applyFont="1" applyBorder="1" applyAlignment="1">
      <alignment horizontal="center" vertical="center" wrapText="1"/>
    </xf>
    <xf numFmtId="9" fontId="12" fillId="2" borderId="33" xfId="1" applyNumberFormat="1" applyFont="1" applyBorder="1" applyAlignment="1">
      <alignment horizontal="center" vertical="center"/>
    </xf>
    <xf numFmtId="9" fontId="4" fillId="7" borderId="95" xfId="7" applyNumberFormat="1" applyFont="1" applyBorder="1" applyAlignment="1">
      <alignment horizontal="center" vertical="center"/>
    </xf>
    <xf numFmtId="9" fontId="4" fillId="7" borderId="81" xfId="7" applyNumberFormat="1" applyFont="1" applyBorder="1" applyAlignment="1">
      <alignment horizontal="center" vertical="center"/>
    </xf>
    <xf numFmtId="9" fontId="16" fillId="0" borderId="94" xfId="0" applyNumberFormat="1" applyFont="1" applyBorder="1" applyAlignment="1">
      <alignment horizontal="center" vertical="center"/>
    </xf>
    <xf numFmtId="9" fontId="16" fillId="0" borderId="77" xfId="0" applyNumberFormat="1" applyFont="1" applyBorder="1" applyAlignment="1">
      <alignment horizontal="center" vertical="center"/>
    </xf>
    <xf numFmtId="9" fontId="16" fillId="0" borderId="12" xfId="0" applyNumberFormat="1" applyFont="1" applyBorder="1" applyAlignment="1">
      <alignment horizontal="center" vertical="center"/>
    </xf>
    <xf numFmtId="9" fontId="16" fillId="0" borderId="22" xfId="0" applyNumberFormat="1" applyFont="1" applyBorder="1" applyAlignment="1">
      <alignment horizontal="center" vertical="center"/>
    </xf>
    <xf numFmtId="9" fontId="12" fillId="2" borderId="12" xfId="1" applyNumberFormat="1" applyFont="1" applyBorder="1" applyAlignment="1">
      <alignment horizontal="center" vertical="center"/>
    </xf>
    <xf numFmtId="9" fontId="12" fillId="2" borderId="22" xfId="1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80" fontId="16" fillId="0" borderId="65" xfId="4" applyNumberFormat="1" applyFont="1" applyBorder="1" applyAlignment="1">
      <alignment horizontal="center" vertical="center"/>
    </xf>
    <xf numFmtId="0" fontId="1" fillId="12" borderId="60" xfId="6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180" fontId="16" fillId="0" borderId="68" xfId="4" applyNumberFormat="1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/>
    </xf>
    <xf numFmtId="0" fontId="9" fillId="2" borderId="4" xfId="1" applyFont="1" applyBorder="1" applyAlignment="1">
      <alignment horizontal="center" vertical="center"/>
    </xf>
    <xf numFmtId="180" fontId="16" fillId="0" borderId="63" xfId="4" applyNumberFormat="1" applyFont="1" applyBorder="1" applyAlignment="1">
      <alignment horizontal="center" vertical="center"/>
    </xf>
    <xf numFmtId="0" fontId="1" fillId="5" borderId="60" xfId="5" applyBorder="1" applyAlignment="1">
      <alignment horizontal="center" vertical="center"/>
    </xf>
    <xf numFmtId="178" fontId="23" fillId="7" borderId="8" xfId="7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9" fillId="2" borderId="14" xfId="1" applyFont="1" applyBorder="1" applyAlignment="1">
      <alignment horizontal="center" vertical="center" wrapText="1"/>
    </xf>
    <xf numFmtId="0" fontId="9" fillId="2" borderId="14" xfId="1" applyFont="1" applyBorder="1" applyAlignment="1">
      <alignment horizontal="center" vertical="center"/>
    </xf>
    <xf numFmtId="9" fontId="16" fillId="0" borderId="20" xfId="0" applyNumberFormat="1" applyFont="1" applyBorder="1" applyAlignment="1">
      <alignment horizontal="center" vertical="center"/>
    </xf>
    <xf numFmtId="9" fontId="16" fillId="0" borderId="39" xfId="0" applyNumberFormat="1" applyFont="1" applyBorder="1" applyAlignment="1">
      <alignment horizontal="center" vertical="center"/>
    </xf>
    <xf numFmtId="9" fontId="16" fillId="0" borderId="44" xfId="0" applyNumberFormat="1" applyFont="1" applyBorder="1" applyAlignment="1">
      <alignment horizontal="center" vertical="center"/>
    </xf>
    <xf numFmtId="41" fontId="16" fillId="0" borderId="1" xfId="3" applyFont="1" applyBorder="1" applyAlignment="1">
      <alignment horizontal="center" vertical="center"/>
    </xf>
    <xf numFmtId="9" fontId="16" fillId="0" borderId="65" xfId="4" applyFont="1" applyBorder="1" applyAlignment="1">
      <alignment horizontal="center" vertical="center"/>
    </xf>
    <xf numFmtId="41" fontId="25" fillId="0" borderId="21" xfId="3" applyFont="1" applyBorder="1" applyAlignment="1">
      <alignment horizontal="center" vertical="center"/>
    </xf>
    <xf numFmtId="41" fontId="25" fillId="0" borderId="23" xfId="3" applyFont="1" applyBorder="1" applyAlignment="1">
      <alignment horizontal="center" vertical="center"/>
    </xf>
    <xf numFmtId="41" fontId="25" fillId="0" borderId="1" xfId="3" applyFont="1" applyBorder="1" applyAlignment="1">
      <alignment horizontal="center" vertical="center"/>
    </xf>
    <xf numFmtId="41" fontId="25" fillId="0" borderId="7" xfId="3" applyFont="1" applyBorder="1" applyAlignment="1">
      <alignment horizontal="center" vertical="center"/>
    </xf>
    <xf numFmtId="41" fontId="16" fillId="0" borderId="62" xfId="3" applyFont="1" applyBorder="1" applyAlignment="1">
      <alignment horizontal="center" vertical="center"/>
    </xf>
    <xf numFmtId="9" fontId="16" fillId="0" borderId="63" xfId="4" applyFont="1" applyBorder="1" applyAlignment="1">
      <alignment horizontal="center" vertical="center"/>
    </xf>
    <xf numFmtId="41" fontId="25" fillId="0" borderId="27" xfId="3" applyFont="1" applyBorder="1" applyAlignment="1">
      <alignment horizontal="center" vertical="center"/>
    </xf>
    <xf numFmtId="9" fontId="12" fillId="2" borderId="43" xfId="1" applyNumberFormat="1" applyFont="1" applyBorder="1" applyAlignment="1">
      <alignment horizontal="center" vertical="center"/>
    </xf>
    <xf numFmtId="9" fontId="12" fillId="2" borderId="39" xfId="1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2" fillId="2" borderId="11" xfId="1" applyFont="1" applyBorder="1" applyAlignment="1">
      <alignment horizontal="center" vertical="center" wrapText="1"/>
    </xf>
    <xf numFmtId="0" fontId="12" fillId="2" borderId="16" xfId="1" applyFont="1" applyBorder="1" applyAlignment="1">
      <alignment horizontal="center" vertical="center"/>
    </xf>
    <xf numFmtId="41" fontId="15" fillId="0" borderId="12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41" fontId="16" fillId="0" borderId="67" xfId="3" applyFont="1" applyBorder="1" applyAlignment="1">
      <alignment horizontal="center" vertical="center"/>
    </xf>
    <xf numFmtId="9" fontId="16" fillId="0" borderId="68" xfId="4" applyFont="1" applyBorder="1" applyAlignment="1">
      <alignment horizontal="center" vertical="center"/>
    </xf>
    <xf numFmtId="41" fontId="25" fillId="0" borderId="90" xfId="3" applyFont="1" applyBorder="1" applyAlignment="1">
      <alignment horizontal="center" vertical="center"/>
    </xf>
    <xf numFmtId="41" fontId="25" fillId="0" borderId="58" xfId="3" applyFont="1" applyBorder="1" applyAlignment="1">
      <alignment horizontal="center" vertical="center"/>
    </xf>
    <xf numFmtId="41" fontId="25" fillId="0" borderId="91" xfId="3" applyFont="1" applyBorder="1" applyAlignment="1">
      <alignment horizontal="center" vertical="center"/>
    </xf>
    <xf numFmtId="41" fontId="25" fillId="0" borderId="84" xfId="3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12" fillId="2" borderId="92" xfId="1" applyFont="1" applyBorder="1" applyAlignment="1">
      <alignment horizontal="center" vertical="center"/>
    </xf>
    <xf numFmtId="0" fontId="12" fillId="2" borderId="93" xfId="1" applyFont="1" applyBorder="1" applyAlignment="1">
      <alignment horizontal="center" vertical="center"/>
    </xf>
    <xf numFmtId="188" fontId="16" fillId="0" borderId="94" xfId="0" applyNumberFormat="1" applyFont="1" applyBorder="1" applyAlignment="1">
      <alignment horizontal="center" vertical="center"/>
    </xf>
    <xf numFmtId="188" fontId="16" fillId="0" borderId="77" xfId="0" applyNumberFormat="1" applyFont="1" applyBorder="1" applyAlignment="1">
      <alignment horizontal="center" vertical="center"/>
    </xf>
    <xf numFmtId="188" fontId="16" fillId="0" borderId="95" xfId="0" applyNumberFormat="1" applyFont="1" applyBorder="1" applyAlignment="1">
      <alignment horizontal="center" vertical="center"/>
    </xf>
    <xf numFmtId="188" fontId="16" fillId="0" borderId="81" xfId="0" applyNumberFormat="1" applyFont="1" applyBorder="1" applyAlignment="1">
      <alignment horizontal="center" vertical="center"/>
    </xf>
    <xf numFmtId="178" fontId="22" fillId="7" borderId="79" xfId="7" applyNumberFormat="1" applyFont="1" applyBorder="1" applyAlignment="1">
      <alignment horizontal="center" vertical="center"/>
    </xf>
    <xf numFmtId="178" fontId="22" fillId="7" borderId="97" xfId="7" applyNumberFormat="1" applyFont="1" applyBorder="1" applyAlignment="1">
      <alignment horizontal="center" vertical="center"/>
    </xf>
    <xf numFmtId="178" fontId="22" fillId="7" borderId="108" xfId="7" applyNumberFormat="1" applyFont="1" applyBorder="1" applyAlignment="1">
      <alignment horizontal="center" vertical="center"/>
    </xf>
    <xf numFmtId="0" fontId="12" fillId="2" borderId="49" xfId="1" applyNumberFormat="1" applyFont="1" applyBorder="1" applyAlignment="1">
      <alignment horizontal="center" vertical="center" wrapText="1"/>
    </xf>
    <xf numFmtId="0" fontId="12" fillId="2" borderId="38" xfId="1" applyNumberFormat="1" applyFont="1" applyBorder="1" applyAlignment="1">
      <alignment horizontal="center" vertical="center" wrapText="1"/>
    </xf>
    <xf numFmtId="0" fontId="12" fillId="2" borderId="14" xfId="1" applyNumberFormat="1" applyFont="1" applyBorder="1" applyAlignment="1">
      <alignment horizontal="center" vertical="center" wrapText="1"/>
    </xf>
    <xf numFmtId="0" fontId="12" fillId="2" borderId="15" xfId="1" applyNumberFormat="1" applyFont="1" applyBorder="1" applyAlignment="1">
      <alignment horizontal="center" vertical="center" wrapText="1"/>
    </xf>
    <xf numFmtId="0" fontId="12" fillId="2" borderId="56" xfId="1" applyNumberFormat="1" applyFont="1" applyBorder="1" applyAlignment="1">
      <alignment horizontal="center" vertical="center" wrapText="1"/>
    </xf>
    <xf numFmtId="0" fontId="12" fillId="2" borderId="57" xfId="1" applyNumberFormat="1" applyFont="1" applyBorder="1" applyAlignment="1">
      <alignment horizontal="center" vertical="center" wrapText="1"/>
    </xf>
    <xf numFmtId="0" fontId="12" fillId="2" borderId="43" xfId="1" applyNumberFormat="1" applyFont="1" applyBorder="1" applyAlignment="1">
      <alignment horizontal="center" vertical="center" wrapText="1"/>
    </xf>
    <xf numFmtId="0" fontId="12" fillId="2" borderId="39" xfId="1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09" xfId="0" applyNumberFormat="1" applyFont="1" applyBorder="1" applyAlignment="1">
      <alignment horizontal="center" vertical="center" wrapText="1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2" fillId="2" borderId="14" xfId="1" applyNumberFormat="1" applyFont="1" applyBorder="1" applyAlignment="1">
      <alignment horizontal="center" vertical="center"/>
    </xf>
    <xf numFmtId="0" fontId="12" fillId="2" borderId="23" xfId="1" applyNumberFormat="1" applyFont="1" applyBorder="1" applyAlignment="1">
      <alignment horizontal="center" vertical="center"/>
    </xf>
    <xf numFmtId="0" fontId="12" fillId="2" borderId="15" xfId="1" applyNumberFormat="1" applyFont="1" applyBorder="1" applyAlignment="1">
      <alignment horizontal="center" vertical="center"/>
    </xf>
    <xf numFmtId="0" fontId="12" fillId="2" borderId="23" xfId="1" applyNumberFormat="1" applyFont="1" applyBorder="1" applyAlignment="1">
      <alignment horizontal="center" vertical="center" wrapText="1"/>
    </xf>
    <xf numFmtId="0" fontId="12" fillId="2" borderId="93" xfId="1" applyNumberFormat="1" applyFont="1" applyBorder="1" applyAlignment="1">
      <alignment horizontal="center" vertical="center" wrapText="1"/>
    </xf>
    <xf numFmtId="0" fontId="12" fillId="2" borderId="21" xfId="1" applyNumberFormat="1" applyFont="1" applyBorder="1" applyAlignment="1">
      <alignment horizontal="center" vertical="center" wrapText="1"/>
    </xf>
    <xf numFmtId="0" fontId="12" fillId="2" borderId="11" xfId="1" applyNumberFormat="1" applyFont="1" applyBorder="1" applyAlignment="1">
      <alignment horizontal="center" vertical="center" wrapText="1"/>
    </xf>
    <xf numFmtId="0" fontId="12" fillId="2" borderId="16" xfId="1" applyNumberFormat="1" applyFont="1" applyBorder="1" applyAlignment="1">
      <alignment horizontal="center" vertical="center" wrapText="1"/>
    </xf>
    <xf numFmtId="14" fontId="15" fillId="0" borderId="12" xfId="3" applyNumberFormat="1" applyFont="1" applyFill="1" applyBorder="1" applyAlignment="1">
      <alignment horizontal="center" vertical="center"/>
    </xf>
    <xf numFmtId="14" fontId="15" fillId="0" borderId="41" xfId="3" applyNumberFormat="1" applyFont="1" applyFill="1" applyBorder="1" applyAlignment="1">
      <alignment horizontal="center" vertical="center"/>
    </xf>
    <xf numFmtId="14" fontId="15" fillId="0" borderId="22" xfId="3" applyNumberFormat="1" applyFont="1" applyFill="1" applyBorder="1" applyAlignment="1">
      <alignment horizontal="center" vertical="center"/>
    </xf>
    <xf numFmtId="0" fontId="12" fillId="2" borderId="92" xfId="1" applyNumberFormat="1" applyFont="1" applyBorder="1" applyAlignment="1">
      <alignment horizontal="center" vertical="center" wrapText="1"/>
    </xf>
    <xf numFmtId="0" fontId="12" fillId="2" borderId="111" xfId="1" applyNumberFormat="1" applyFont="1" applyBorder="1" applyAlignment="1">
      <alignment horizontal="center" vertical="center" wrapText="1"/>
    </xf>
    <xf numFmtId="0" fontId="12" fillId="2" borderId="112" xfId="1" applyNumberFormat="1" applyFont="1" applyBorder="1" applyAlignment="1">
      <alignment horizontal="center" vertical="center" wrapText="1"/>
    </xf>
    <xf numFmtId="0" fontId="12" fillId="2" borderId="109" xfId="1" applyNumberFormat="1" applyFont="1" applyBorder="1" applyAlignment="1">
      <alignment horizontal="center" vertical="center" wrapText="1"/>
    </xf>
    <xf numFmtId="0" fontId="12" fillId="2" borderId="28" xfId="1" applyNumberFormat="1" applyFont="1" applyBorder="1" applyAlignment="1">
      <alignment horizontal="center" vertical="center" wrapText="1"/>
    </xf>
    <xf numFmtId="0" fontId="3" fillId="5" borderId="1" xfId="5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5" borderId="5" xfId="5" applyBorder="1" applyAlignment="1">
      <alignment horizontal="center" vertical="center"/>
    </xf>
    <xf numFmtId="43" fontId="13" fillId="0" borderId="22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" fillId="6" borderId="6" xfId="6" applyBorder="1" applyAlignment="1">
      <alignment horizontal="center" vertical="center"/>
    </xf>
    <xf numFmtId="0" fontId="3" fillId="6" borderId="7" xfId="6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0" xfId="2" applyBorder="1" applyAlignment="1">
      <alignment horizontal="center" vertical="center" wrapText="1"/>
    </xf>
    <xf numFmtId="0" fontId="12" fillId="2" borderId="8" xfId="1" applyFont="1" applyBorder="1" applyAlignment="1">
      <alignment horizontal="center" vertical="center" wrapText="1"/>
    </xf>
    <xf numFmtId="0" fontId="12" fillId="2" borderId="55" xfId="1" applyFont="1" applyBorder="1" applyAlignment="1">
      <alignment horizontal="center" vertical="center"/>
    </xf>
    <xf numFmtId="0" fontId="12" fillId="2" borderId="31" xfId="1" applyFont="1" applyBorder="1" applyAlignment="1">
      <alignment horizontal="center" vertical="center"/>
    </xf>
    <xf numFmtId="0" fontId="12" fillId="2" borderId="115" xfId="1" applyFont="1" applyBorder="1" applyAlignment="1">
      <alignment horizontal="center" vertical="center"/>
    </xf>
    <xf numFmtId="0" fontId="12" fillId="2" borderId="116" xfId="1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1" fillId="0" borderId="127" xfId="0" applyFont="1" applyBorder="1" applyAlignment="1">
      <alignment horizontal="center" vertical="center"/>
    </xf>
    <xf numFmtId="0" fontId="4" fillId="8" borderId="128" xfId="0" applyFont="1" applyFill="1" applyBorder="1" applyAlignment="1">
      <alignment horizontal="center" vertical="center" wrapText="1"/>
    </xf>
    <xf numFmtId="0" fontId="4" fillId="8" borderId="129" xfId="0" applyFont="1" applyFill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 wrapText="1"/>
    </xf>
    <xf numFmtId="188" fontId="35" fillId="0" borderId="56" xfId="0" applyNumberFormat="1" applyFont="1" applyBorder="1" applyAlignment="1">
      <alignment horizontal="center" vertical="center"/>
    </xf>
    <xf numFmtId="188" fontId="35" fillId="0" borderId="57" xfId="0" applyNumberFormat="1" applyFont="1" applyBorder="1" applyAlignment="1">
      <alignment horizontal="center" vertical="center"/>
    </xf>
    <xf numFmtId="196" fontId="34" fillId="0" borderId="128" xfId="4" applyNumberFormat="1" applyFont="1" applyBorder="1" applyAlignment="1">
      <alignment horizontal="center" vertical="center"/>
    </xf>
    <xf numFmtId="196" fontId="34" fillId="0" borderId="131" xfId="4" applyNumberFormat="1" applyFont="1" applyBorder="1" applyAlignment="1">
      <alignment horizontal="center" vertical="center"/>
    </xf>
    <xf numFmtId="196" fontId="34" fillId="0" borderId="129" xfId="4" applyNumberFormat="1" applyFont="1" applyBorder="1" applyAlignment="1">
      <alignment horizontal="center" vertical="center"/>
    </xf>
    <xf numFmtId="10" fontId="34" fillId="0" borderId="128" xfId="4" applyNumberFormat="1" applyFont="1" applyBorder="1" applyAlignment="1">
      <alignment horizontal="center" vertical="center"/>
    </xf>
    <xf numFmtId="10" fontId="34" fillId="0" borderId="131" xfId="4" applyNumberFormat="1" applyFont="1" applyBorder="1" applyAlignment="1">
      <alignment horizontal="center" vertical="center"/>
    </xf>
    <xf numFmtId="10" fontId="34" fillId="0" borderId="129" xfId="4" applyNumberFormat="1" applyFont="1" applyBorder="1" applyAlignment="1">
      <alignment horizontal="center" vertical="center"/>
    </xf>
    <xf numFmtId="184" fontId="35" fillId="0" borderId="128" xfId="3" applyNumberFormat="1" applyFont="1" applyBorder="1" applyAlignment="1">
      <alignment horizontal="center" vertical="center"/>
    </xf>
    <xf numFmtId="184" fontId="35" fillId="0" borderId="131" xfId="3" applyNumberFormat="1" applyFont="1" applyBorder="1" applyAlignment="1">
      <alignment horizontal="center" vertical="center"/>
    </xf>
    <xf numFmtId="184" fontId="35" fillId="0" borderId="129" xfId="3" applyNumberFormat="1" applyFont="1" applyBorder="1" applyAlignment="1">
      <alignment horizontal="center" vertical="center"/>
    </xf>
    <xf numFmtId="0" fontId="36" fillId="8" borderId="56" xfId="0" applyFont="1" applyFill="1" applyBorder="1" applyAlignment="1">
      <alignment horizontal="center" vertical="center"/>
    </xf>
    <xf numFmtId="0" fontId="36" fillId="8" borderId="130" xfId="0" applyFont="1" applyFill="1" applyBorder="1" applyAlignment="1">
      <alignment horizontal="center" vertical="center"/>
    </xf>
    <xf numFmtId="0" fontId="36" fillId="8" borderId="5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31" xfId="0" applyFont="1" applyFill="1" applyBorder="1" applyAlignment="1">
      <alignment horizontal="center" vertical="center"/>
    </xf>
    <xf numFmtId="9" fontId="37" fillId="8" borderId="42" xfId="4" applyFont="1" applyFill="1" applyBorder="1" applyAlignment="1">
      <alignment horizontal="center" vertical="center" wrapText="1"/>
    </xf>
    <xf numFmtId="9" fontId="37" fillId="8" borderId="42" xfId="4" applyFont="1" applyFill="1" applyBorder="1" applyAlignment="1">
      <alignment horizontal="center" vertical="center"/>
    </xf>
    <xf numFmtId="0" fontId="37" fillId="8" borderId="42" xfId="0" applyFont="1" applyFill="1" applyBorder="1" applyAlignment="1">
      <alignment horizontal="center" vertical="center" wrapText="1"/>
    </xf>
    <xf numFmtId="0" fontId="37" fillId="8" borderId="42" xfId="0" applyFont="1" applyFill="1" applyBorder="1" applyAlignment="1">
      <alignment horizontal="center" vertical="center"/>
    </xf>
    <xf numFmtId="0" fontId="38" fillId="8" borderId="56" xfId="0" applyFont="1" applyFill="1" applyBorder="1" applyAlignment="1">
      <alignment horizontal="center" vertical="center"/>
    </xf>
    <xf numFmtId="0" fontId="38" fillId="8" borderId="57" xfId="0" applyFont="1" applyFill="1" applyBorder="1" applyAlignment="1">
      <alignment horizontal="center" vertical="center"/>
    </xf>
    <xf numFmtId="0" fontId="41" fillId="0" borderId="127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41" fillId="0" borderId="127" xfId="0" applyFont="1" applyBorder="1" applyAlignment="1">
      <alignment horizontal="center"/>
    </xf>
    <xf numFmtId="0" fontId="43" fillId="0" borderId="128" xfId="0" applyFont="1" applyBorder="1" applyAlignment="1">
      <alignment horizontal="center" vertical="center" wrapText="1"/>
    </xf>
    <xf numFmtId="0" fontId="43" fillId="0" borderId="131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43" fillId="0" borderId="128" xfId="0" applyFont="1" applyBorder="1" applyAlignment="1">
      <alignment horizontal="center" vertical="center" textRotation="255"/>
    </xf>
    <xf numFmtId="0" fontId="43" fillId="0" borderId="131" xfId="0" applyFont="1" applyBorder="1" applyAlignment="1">
      <alignment horizontal="center" vertical="center" textRotation="255"/>
    </xf>
    <xf numFmtId="0" fontId="43" fillId="0" borderId="129" xfId="0" applyFont="1" applyBorder="1" applyAlignment="1">
      <alignment horizontal="center" vertical="center" textRotation="255"/>
    </xf>
  </cellXfs>
  <cellStyles count="8">
    <cellStyle name="20% - 강조색1" xfId="5" builtinId="30"/>
    <cellStyle name="40% - 강조색1" xfId="6" builtinId="31"/>
    <cellStyle name="60% - 강조색1" xfId="7" builtinId="32"/>
    <cellStyle name="강조색1" xfId="1" builtinId="29"/>
    <cellStyle name="백분율" xfId="4" builtinId="5"/>
    <cellStyle name="쉼표 [0]" xfId="3" builtinId="6"/>
    <cellStyle name="제목 1" xfId="2" builtinId="1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2"/>
  <sheetViews>
    <sheetView view="pageBreakPreview" zoomScale="115" zoomScaleNormal="100" zoomScaleSheetLayoutView="115" workbookViewId="0">
      <selection activeCell="A6" sqref="A6:M6"/>
    </sheetView>
  </sheetViews>
  <sheetFormatPr defaultRowHeight="16.5"/>
  <sheetData>
    <row r="4" spans="1:13">
      <c r="A4" s="557"/>
    </row>
    <row r="5" spans="1:13" ht="31.5">
      <c r="A5" s="563" t="s">
        <v>568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</row>
    <row r="6" spans="1:13" ht="54">
      <c r="A6" s="564" t="s">
        <v>504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</row>
    <row r="7" spans="1:13" ht="50.25">
      <c r="A7" s="558"/>
    </row>
    <row r="8" spans="1:13" ht="38.25">
      <c r="A8" s="565" t="s">
        <v>506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</row>
    <row r="9" spans="1:13">
      <c r="A9" s="557"/>
    </row>
    <row r="10" spans="1:13">
      <c r="A10" s="557"/>
    </row>
    <row r="11" spans="1:13">
      <c r="A11" s="557"/>
    </row>
    <row r="12" spans="1:13">
      <c r="A12" s="557"/>
    </row>
    <row r="13" spans="1:13">
      <c r="A13" s="557"/>
    </row>
    <row r="14" spans="1:13">
      <c r="A14" s="557"/>
    </row>
    <row r="15" spans="1:13" ht="31.5">
      <c r="A15" s="563" t="s">
        <v>505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</row>
    <row r="16" spans="1:13" ht="31.5">
      <c r="A16" s="563" t="s">
        <v>505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</row>
    <row r="17" spans="1:1">
      <c r="A17" s="557"/>
    </row>
    <row r="18" spans="1:1">
      <c r="A18" s="557"/>
    </row>
    <row r="19" spans="1:1">
      <c r="A19" s="557"/>
    </row>
    <row r="20" spans="1:1">
      <c r="A20" s="557"/>
    </row>
    <row r="21" spans="1:1">
      <c r="A21" s="557"/>
    </row>
    <row r="22" spans="1:1">
      <c r="A22" s="557"/>
    </row>
  </sheetData>
  <mergeCells count="5">
    <mergeCell ref="A5:M5"/>
    <mergeCell ref="A6:M6"/>
    <mergeCell ref="A8:M8"/>
    <mergeCell ref="A15:M15"/>
    <mergeCell ref="A16:M16"/>
  </mergeCells>
  <phoneticPr fontId="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view="pageBreakPreview" topLeftCell="A13" zoomScaleSheetLayoutView="100" workbookViewId="0">
      <selection activeCell="O23" sqref="O23"/>
    </sheetView>
  </sheetViews>
  <sheetFormatPr defaultColWidth="9" defaultRowHeight="16.5"/>
  <cols>
    <col min="1" max="1" width="1.25" style="3" customWidth="1"/>
    <col min="2" max="2" width="15.625" style="3" customWidth="1"/>
    <col min="3" max="3" width="24.625" style="3" customWidth="1"/>
    <col min="4" max="4" width="7.125" style="3" bestFit="1" customWidth="1"/>
    <col min="5" max="5" width="9.375" style="3" bestFit="1" customWidth="1"/>
    <col min="6" max="6" width="11" style="3" customWidth="1"/>
    <col min="7" max="7" width="8.5" style="3" customWidth="1"/>
    <col min="8" max="8" width="18.125" style="3" customWidth="1"/>
    <col min="9" max="9" width="1.25" style="3" customWidth="1"/>
    <col min="10" max="10" width="9" style="3"/>
    <col min="11" max="12" width="11.375" style="3" customWidth="1"/>
    <col min="13" max="13" width="25.125" style="3" customWidth="1"/>
    <col min="14" max="16384" width="9" style="3"/>
  </cols>
  <sheetData>
    <row r="1" spans="2:13" ht="22.5" customHeight="1">
      <c r="B1" s="569" t="s">
        <v>1</v>
      </c>
      <c r="C1" s="569"/>
      <c r="D1" s="569"/>
      <c r="E1" s="569"/>
      <c r="F1" s="569"/>
      <c r="G1" s="569"/>
      <c r="H1" s="569"/>
    </row>
    <row r="2" spans="2:13" ht="26.25" customHeight="1">
      <c r="B2" s="35"/>
      <c r="C2" s="35"/>
      <c r="D2" s="35"/>
      <c r="E2" s="35"/>
      <c r="F2" s="35"/>
      <c r="G2" s="35"/>
      <c r="H2" s="35"/>
    </row>
    <row r="3" spans="2:13" ht="26.25" customHeight="1" thickBot="1">
      <c r="B3" s="64" t="s">
        <v>358</v>
      </c>
      <c r="C3" s="65"/>
      <c r="D3" s="65"/>
      <c r="E3" s="65"/>
      <c r="F3" s="65"/>
      <c r="G3" s="65"/>
      <c r="H3" s="65"/>
    </row>
    <row r="4" spans="2:13" ht="37.5" customHeight="1" thickBot="1">
      <c r="B4" s="249" t="s">
        <v>100</v>
      </c>
      <c r="C4" s="250" t="s">
        <v>367</v>
      </c>
      <c r="D4" s="251" t="s">
        <v>101</v>
      </c>
      <c r="E4" s="250" t="s">
        <v>102</v>
      </c>
      <c r="F4" s="250" t="s">
        <v>103</v>
      </c>
      <c r="G4" s="250" t="s">
        <v>104</v>
      </c>
      <c r="H4" s="252" t="s">
        <v>74</v>
      </c>
    </row>
    <row r="5" spans="2:13" ht="26.25" customHeight="1">
      <c r="B5" s="263" t="s">
        <v>283</v>
      </c>
      <c r="C5" s="241" t="s">
        <v>106</v>
      </c>
      <c r="D5" s="256">
        <v>2</v>
      </c>
      <c r="E5" s="242" t="s">
        <v>361</v>
      </c>
      <c r="F5" s="412" t="s">
        <v>381</v>
      </c>
      <c r="G5" s="260">
        <f>D5*0.2</f>
        <v>0.4</v>
      </c>
      <c r="H5" s="560" t="s">
        <v>548</v>
      </c>
      <c r="K5" s="3" t="s">
        <v>360</v>
      </c>
      <c r="L5" s="3" t="s">
        <v>366</v>
      </c>
    </row>
    <row r="6" spans="2:13" ht="26.25" customHeight="1" thickBot="1">
      <c r="B6" s="264" t="s">
        <v>359</v>
      </c>
      <c r="C6" s="257" t="s">
        <v>106</v>
      </c>
      <c r="D6" s="258">
        <v>1</v>
      </c>
      <c r="E6" s="179" t="s">
        <v>107</v>
      </c>
      <c r="F6" s="407" t="s">
        <v>365</v>
      </c>
      <c r="G6" s="261">
        <f>D6*0.2</f>
        <v>0.2</v>
      </c>
      <c r="H6" s="259" t="s">
        <v>544</v>
      </c>
      <c r="K6" s="3" t="s">
        <v>362</v>
      </c>
      <c r="L6" s="3" t="s">
        <v>363</v>
      </c>
    </row>
    <row r="7" spans="2:13" ht="26.25" customHeight="1" thickBot="1">
      <c r="B7" s="253" t="s">
        <v>212</v>
      </c>
      <c r="C7" s="243"/>
      <c r="D7" s="254"/>
      <c r="E7" s="217"/>
      <c r="F7" s="218"/>
      <c r="G7" s="262">
        <f>SUM(G5:G6)</f>
        <v>0.60000000000000009</v>
      </c>
      <c r="H7" s="255"/>
      <c r="K7" s="3" t="s">
        <v>364</v>
      </c>
    </row>
    <row r="8" spans="2:13" ht="26.25" customHeight="1">
      <c r="B8" s="63"/>
      <c r="C8" s="66"/>
      <c r="D8" s="67"/>
      <c r="E8" s="33"/>
      <c r="F8" s="58"/>
      <c r="G8" s="68"/>
      <c r="H8" s="44"/>
    </row>
    <row r="9" spans="2:13" ht="26.25" customHeight="1" thickBot="1">
      <c r="B9" s="64" t="s">
        <v>108</v>
      </c>
      <c r="C9" s="66"/>
      <c r="D9" s="67"/>
      <c r="E9" s="33"/>
      <c r="F9" s="58"/>
      <c r="G9" s="68"/>
      <c r="H9" s="44"/>
    </row>
    <row r="10" spans="2:13" ht="37.5" customHeight="1" thickBot="1">
      <c r="B10" s="249" t="s">
        <v>100</v>
      </c>
      <c r="C10" s="250" t="s">
        <v>109</v>
      </c>
      <c r="D10" s="738" t="s">
        <v>368</v>
      </c>
      <c r="E10" s="739"/>
      <c r="F10" s="250" t="s">
        <v>110</v>
      </c>
      <c r="G10" s="250" t="s">
        <v>104</v>
      </c>
      <c r="H10" s="252" t="s">
        <v>74</v>
      </c>
    </row>
    <row r="11" spans="2:13" ht="26.25" customHeight="1">
      <c r="B11" s="269" t="s">
        <v>283</v>
      </c>
      <c r="C11" s="265">
        <v>3</v>
      </c>
      <c r="D11" s="740"/>
      <c r="E11" s="741"/>
      <c r="F11" s="266"/>
      <c r="G11" s="266">
        <v>3</v>
      </c>
      <c r="H11" s="270"/>
    </row>
    <row r="12" spans="2:13" ht="26.25" customHeight="1" thickBot="1">
      <c r="B12" s="264" t="s">
        <v>359</v>
      </c>
      <c r="C12" s="267"/>
      <c r="D12" s="742"/>
      <c r="E12" s="743"/>
      <c r="F12" s="268"/>
      <c r="G12" s="268"/>
      <c r="H12" s="271"/>
    </row>
    <row r="13" spans="2:13" ht="26.25" customHeight="1" thickBot="1">
      <c r="B13" s="253" t="s">
        <v>212</v>
      </c>
      <c r="C13" s="243"/>
      <c r="D13" s="254"/>
      <c r="E13" s="217"/>
      <c r="F13" s="218"/>
      <c r="G13" s="272">
        <f>SUM(G11:G12)</f>
        <v>3</v>
      </c>
      <c r="H13" s="255"/>
    </row>
    <row r="14" spans="2:13" ht="26.25" customHeight="1"/>
    <row r="15" spans="2:13" ht="26.25" customHeight="1" thickBot="1">
      <c r="B15" s="3" t="s">
        <v>149</v>
      </c>
      <c r="J15" s="561" t="s">
        <v>111</v>
      </c>
      <c r="K15" s="561" t="s">
        <v>146</v>
      </c>
      <c r="L15" s="561" t="s">
        <v>147</v>
      </c>
      <c r="M15" s="561" t="s">
        <v>112</v>
      </c>
    </row>
    <row r="16" spans="2:13" ht="37.5" customHeight="1" thickBot="1">
      <c r="B16" s="317" t="s">
        <v>99</v>
      </c>
      <c r="C16" s="250" t="s">
        <v>150</v>
      </c>
      <c r="D16" s="277" t="s">
        <v>284</v>
      </c>
      <c r="E16" s="316" t="s">
        <v>151</v>
      </c>
      <c r="F16" s="316" t="s">
        <v>152</v>
      </c>
      <c r="G16" s="316" t="s">
        <v>153</v>
      </c>
      <c r="H16" s="252" t="s">
        <v>74</v>
      </c>
      <c r="J16" s="735">
        <v>3</v>
      </c>
      <c r="K16" s="561" t="s">
        <v>113</v>
      </c>
      <c r="L16" s="561" t="s">
        <v>64</v>
      </c>
      <c r="M16" s="561" t="s">
        <v>148</v>
      </c>
    </row>
    <row r="17" spans="2:13" ht="26.25" customHeight="1">
      <c r="B17" s="273" t="str">
        <f>참여업체현황!B6</f>
        <v>A사</v>
      </c>
      <c r="C17" s="318" t="s">
        <v>545</v>
      </c>
      <c r="D17" s="278">
        <v>3</v>
      </c>
      <c r="E17" s="275">
        <f>참여업체현황!E6</f>
        <v>0.6</v>
      </c>
      <c r="F17" s="126">
        <f>D17*E17</f>
        <v>1.7999999999999998</v>
      </c>
      <c r="G17" s="744">
        <f>ROUND(SUM(F17:F19),2)</f>
        <v>2.88</v>
      </c>
      <c r="H17" s="281" t="s">
        <v>261</v>
      </c>
      <c r="J17" s="736"/>
      <c r="K17" s="562" t="s">
        <v>292</v>
      </c>
      <c r="L17" s="562" t="s">
        <v>114</v>
      </c>
      <c r="M17" s="562" t="s">
        <v>115</v>
      </c>
    </row>
    <row r="18" spans="2:13" ht="26.25" customHeight="1">
      <c r="B18" s="273" t="str">
        <f>참여업체현황!B7</f>
        <v>B사</v>
      </c>
      <c r="C18" s="319" t="s">
        <v>546</v>
      </c>
      <c r="D18" s="279">
        <v>2.8</v>
      </c>
      <c r="E18" s="275">
        <f>참여업체현황!E7</f>
        <v>0.3</v>
      </c>
      <c r="F18" s="126">
        <f t="shared" ref="F18:F19" si="0">D18*E18</f>
        <v>0.84</v>
      </c>
      <c r="G18" s="745"/>
      <c r="H18" s="282" t="s">
        <v>261</v>
      </c>
      <c r="J18" s="736"/>
      <c r="K18" s="562" t="s">
        <v>116</v>
      </c>
      <c r="L18" s="562" t="s">
        <v>117</v>
      </c>
      <c r="M18" s="562" t="s">
        <v>118</v>
      </c>
    </row>
    <row r="19" spans="2:13" ht="26.25" customHeight="1" thickBot="1">
      <c r="B19" s="274" t="str">
        <f>참여업체현황!B8</f>
        <v>C사</v>
      </c>
      <c r="C19" s="264" t="s">
        <v>547</v>
      </c>
      <c r="D19" s="280">
        <v>2.4</v>
      </c>
      <c r="E19" s="276">
        <f>참여업체현황!E8</f>
        <v>0.1</v>
      </c>
      <c r="F19" s="127">
        <f t="shared" si="0"/>
        <v>0.24</v>
      </c>
      <c r="G19" s="746"/>
      <c r="H19" s="283" t="s">
        <v>261</v>
      </c>
      <c r="J19" s="736"/>
      <c r="K19" s="562" t="s">
        <v>119</v>
      </c>
      <c r="L19" s="562" t="s">
        <v>120</v>
      </c>
      <c r="M19" s="562" t="s">
        <v>121</v>
      </c>
    </row>
    <row r="20" spans="2:13" ht="26.25" customHeight="1">
      <c r="J20" s="736"/>
      <c r="K20" s="562" t="s">
        <v>122</v>
      </c>
      <c r="L20" s="562" t="s">
        <v>123</v>
      </c>
      <c r="M20" s="562" t="s">
        <v>124</v>
      </c>
    </row>
    <row r="21" spans="2:13" ht="26.25" customHeight="1">
      <c r="J21" s="736"/>
      <c r="K21" s="562" t="s">
        <v>125</v>
      </c>
      <c r="L21" s="562" t="s">
        <v>126</v>
      </c>
      <c r="M21" s="562" t="s">
        <v>127</v>
      </c>
    </row>
    <row r="22" spans="2:13" ht="24">
      <c r="J22" s="736"/>
      <c r="K22" s="562" t="s">
        <v>128</v>
      </c>
      <c r="L22" s="562" t="s">
        <v>129</v>
      </c>
      <c r="M22" s="562" t="s">
        <v>130</v>
      </c>
    </row>
    <row r="23" spans="2:13" ht="24">
      <c r="J23" s="737"/>
      <c r="K23" s="562" t="s">
        <v>131</v>
      </c>
      <c r="L23" s="562" t="s">
        <v>132</v>
      </c>
      <c r="M23" s="562" t="s">
        <v>133</v>
      </c>
    </row>
    <row r="24" spans="2:13" ht="24">
      <c r="J24" s="735">
        <v>2.8</v>
      </c>
      <c r="K24" s="562" t="s">
        <v>134</v>
      </c>
      <c r="L24" s="562" t="s">
        <v>135</v>
      </c>
      <c r="M24" s="562" t="s">
        <v>136</v>
      </c>
    </row>
    <row r="25" spans="2:13" ht="24">
      <c r="J25" s="736"/>
      <c r="K25" s="562" t="s">
        <v>137</v>
      </c>
      <c r="L25" s="562" t="s">
        <v>138</v>
      </c>
      <c r="M25" s="562" t="s">
        <v>139</v>
      </c>
    </row>
    <row r="26" spans="2:13" ht="24">
      <c r="J26" s="737"/>
      <c r="K26" s="562" t="s">
        <v>140</v>
      </c>
      <c r="L26" s="562" t="s">
        <v>141</v>
      </c>
      <c r="M26" s="562" t="s">
        <v>142</v>
      </c>
    </row>
    <row r="27" spans="2:13" ht="24">
      <c r="J27" s="562">
        <v>2.4</v>
      </c>
      <c r="K27" s="562" t="s">
        <v>143</v>
      </c>
      <c r="L27" s="562" t="s">
        <v>144</v>
      </c>
      <c r="M27" s="562" t="s">
        <v>145</v>
      </c>
    </row>
  </sheetData>
  <mergeCells count="7">
    <mergeCell ref="B1:H1"/>
    <mergeCell ref="J24:J26"/>
    <mergeCell ref="D10:E10"/>
    <mergeCell ref="D11:E11"/>
    <mergeCell ref="D12:E12"/>
    <mergeCell ref="G17:G19"/>
    <mergeCell ref="J16:J23"/>
  </mergeCells>
  <phoneticPr fontId="8" type="noConversion"/>
  <dataValidations count="2">
    <dataValidation type="list" operator="equal" allowBlank="1" showInputMessage="1" showErrorMessage="1" sqref="F5">
      <formula1>"입찰참가제한,영업정지,과징금"</formula1>
    </dataValidation>
    <dataValidation type="list" operator="equal" allowBlank="1" showInputMessage="1" showErrorMessage="1" sqref="F6">
      <formula1>"기술자격정지,업무정지"</formula1>
    </dataValidation>
  </dataValidations>
  <printOptions horizontalCentered="1"/>
  <pageMargins left="0.59055118110236227" right="0.59055118110236227" top="0.78740157480314965" bottom="0.78740157480314965" header="0.19685039370078741" footer="0.19685039370078741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80"/>
  <sheetViews>
    <sheetView view="pageBreakPreview" zoomScale="85" zoomScaleSheetLayoutView="85" workbookViewId="0">
      <pane ySplit="1" topLeftCell="A2" activePane="bottomLeft" state="frozen"/>
      <selection pane="bottomLeft" activeCell="W31" sqref="W31"/>
    </sheetView>
  </sheetViews>
  <sheetFormatPr defaultColWidth="9" defaultRowHeight="16.5"/>
  <cols>
    <col min="1" max="1" width="1.25" style="3" customWidth="1"/>
    <col min="2" max="2" width="6.625" style="3" customWidth="1"/>
    <col min="3" max="3" width="5.625" style="3" customWidth="1"/>
    <col min="4" max="4" width="11.875" style="3" customWidth="1"/>
    <col min="5" max="5" width="9.375" style="3" bestFit="1" customWidth="1"/>
    <col min="6" max="6" width="13.25" style="3" customWidth="1"/>
    <col min="7" max="7" width="6.375" style="3" bestFit="1" customWidth="1"/>
    <col min="8" max="9" width="11.375" style="3" customWidth="1"/>
    <col min="10" max="10" width="8.75" style="3" customWidth="1"/>
    <col min="11" max="11" width="11.375" style="3" customWidth="1"/>
    <col min="12" max="12" width="9.5" style="3" customWidth="1"/>
    <col min="13" max="14" width="7.125" style="3" customWidth="1"/>
    <col min="15" max="15" width="12" style="3" customWidth="1"/>
    <col min="16" max="16" width="1.25" style="3" customWidth="1"/>
    <col min="17" max="26" width="8.75" style="3" customWidth="1"/>
    <col min="27" max="16384" width="9" style="3"/>
  </cols>
  <sheetData>
    <row r="1" spans="2:26" ht="33">
      <c r="B1" s="569" t="s">
        <v>157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  <c r="Q1" s="89" t="s">
        <v>171</v>
      </c>
      <c r="R1" s="90">
        <v>1</v>
      </c>
      <c r="S1" s="91">
        <v>0.9</v>
      </c>
      <c r="T1" s="91">
        <v>0.8</v>
      </c>
      <c r="U1" s="92">
        <v>0.7</v>
      </c>
      <c r="V1" s="92">
        <v>0.6</v>
      </c>
      <c r="W1" s="98" t="s">
        <v>59</v>
      </c>
      <c r="X1" s="98" t="s">
        <v>172</v>
      </c>
      <c r="Y1" s="99" t="s">
        <v>173</v>
      </c>
      <c r="Z1" s="99" t="s">
        <v>174</v>
      </c>
    </row>
    <row r="2" spans="2:26" ht="37.5" customHeight="1" thickBot="1">
      <c r="B2" s="64" t="s">
        <v>176</v>
      </c>
      <c r="C2" s="65"/>
      <c r="D2" s="65"/>
      <c r="E2" s="65"/>
      <c r="F2" s="330"/>
      <c r="G2" s="65"/>
      <c r="H2" s="65"/>
      <c r="I2" s="65"/>
      <c r="J2" s="65"/>
      <c r="K2" s="65"/>
      <c r="L2" s="65"/>
      <c r="Q2" s="93" t="s">
        <v>175</v>
      </c>
      <c r="R2" s="91" t="s">
        <v>160</v>
      </c>
      <c r="S2" s="93" t="s">
        <v>161</v>
      </c>
      <c r="T2" s="94" t="s">
        <v>162</v>
      </c>
      <c r="U2" s="94" t="s">
        <v>163</v>
      </c>
      <c r="V2" s="94" t="s">
        <v>177</v>
      </c>
      <c r="W2" s="94" t="s">
        <v>158</v>
      </c>
      <c r="X2" s="100">
        <v>1</v>
      </c>
      <c r="Y2" s="100">
        <v>0.8</v>
      </c>
      <c r="Z2" s="100">
        <v>0.6</v>
      </c>
    </row>
    <row r="3" spans="2:26" s="107" customFormat="1" ht="26.25" customHeight="1">
      <c r="B3" s="576" t="s">
        <v>213</v>
      </c>
      <c r="C3" s="573"/>
      <c r="D3" s="573"/>
      <c r="E3" s="573" t="s">
        <v>214</v>
      </c>
      <c r="F3" s="573"/>
      <c r="G3" s="573"/>
      <c r="H3" s="325" t="s">
        <v>215</v>
      </c>
      <c r="I3" s="324" t="s">
        <v>290</v>
      </c>
      <c r="J3" s="324" t="s">
        <v>74</v>
      </c>
      <c r="K3" s="338" t="s">
        <v>291</v>
      </c>
      <c r="L3" s="106"/>
      <c r="Q3" s="108" t="s">
        <v>180</v>
      </c>
      <c r="R3" s="109" t="s">
        <v>164</v>
      </c>
      <c r="S3" s="109" t="s">
        <v>165</v>
      </c>
      <c r="T3" s="108" t="s">
        <v>166</v>
      </c>
      <c r="U3" s="108" t="s">
        <v>167</v>
      </c>
      <c r="V3" s="108" t="s">
        <v>168</v>
      </c>
      <c r="W3" s="110" t="s">
        <v>181</v>
      </c>
      <c r="X3" s="111">
        <v>1</v>
      </c>
      <c r="Y3" s="111">
        <v>0.8</v>
      </c>
      <c r="Z3" s="111">
        <v>0</v>
      </c>
    </row>
    <row r="4" spans="2:26" ht="26.25" customHeight="1">
      <c r="B4" s="777" t="str">
        <f>참여업체현황!B6</f>
        <v>A사</v>
      </c>
      <c r="C4" s="608"/>
      <c r="D4" s="608"/>
      <c r="E4" s="780">
        <f>참여업체현황!E6</f>
        <v>0.6</v>
      </c>
      <c r="F4" s="780"/>
      <c r="G4" s="608"/>
      <c r="H4" s="120">
        <f>N28</f>
        <v>1.83</v>
      </c>
      <c r="I4" s="339">
        <f>E4*H4</f>
        <v>1.0980000000000001</v>
      </c>
      <c r="J4" s="326"/>
      <c r="K4" s="336"/>
      <c r="L4" s="65"/>
      <c r="Q4" s="102"/>
      <c r="R4" s="103"/>
      <c r="S4" s="103"/>
      <c r="T4" s="102"/>
      <c r="U4" s="102"/>
      <c r="V4" s="102"/>
      <c r="W4" s="104"/>
      <c r="X4" s="4"/>
      <c r="Y4" s="4"/>
      <c r="Z4" s="4"/>
    </row>
    <row r="5" spans="2:26" ht="26.25" customHeight="1">
      <c r="B5" s="777" t="str">
        <f>참여업체현황!B7</f>
        <v>B사</v>
      </c>
      <c r="C5" s="608"/>
      <c r="D5" s="608"/>
      <c r="E5" s="780">
        <f>참여업체현황!E7</f>
        <v>0.3</v>
      </c>
      <c r="F5" s="780"/>
      <c r="G5" s="608"/>
      <c r="H5" s="120">
        <f>N49</f>
        <v>1.83</v>
      </c>
      <c r="I5" s="339">
        <f>E5*H5</f>
        <v>0.54900000000000004</v>
      </c>
      <c r="J5" s="326"/>
      <c r="K5" s="336"/>
      <c r="L5" s="65"/>
      <c r="Q5" s="102"/>
      <c r="R5" s="103"/>
      <c r="S5" s="103"/>
      <c r="T5" s="102"/>
      <c r="U5" s="102"/>
      <c r="V5" s="102"/>
      <c r="W5" s="104"/>
      <c r="X5" s="4"/>
      <c r="Y5" s="4"/>
      <c r="Z5" s="4"/>
    </row>
    <row r="6" spans="2:26" ht="26.25" customHeight="1">
      <c r="B6" s="777" t="str">
        <f>참여업체현황!B8</f>
        <v>C사</v>
      </c>
      <c r="C6" s="608"/>
      <c r="D6" s="608"/>
      <c r="E6" s="780">
        <f>참여업체현황!E8</f>
        <v>0.1</v>
      </c>
      <c r="F6" s="780"/>
      <c r="G6" s="608"/>
      <c r="H6" s="120">
        <f>N70</f>
        <v>1.83</v>
      </c>
      <c r="I6" s="339">
        <f>E6*H6</f>
        <v>0.18300000000000002</v>
      </c>
      <c r="J6" s="326"/>
      <c r="K6" s="336"/>
      <c r="L6" s="65"/>
    </row>
    <row r="7" spans="2:26" ht="26.25" customHeight="1" thickBot="1">
      <c r="B7" s="785" t="s">
        <v>189</v>
      </c>
      <c r="C7" s="786"/>
      <c r="D7" s="786"/>
      <c r="E7" s="786"/>
      <c r="F7" s="786"/>
      <c r="G7" s="786"/>
      <c r="H7" s="116"/>
      <c r="I7" s="340">
        <f>SUM(I4:I6)</f>
        <v>1.8300000000000003</v>
      </c>
      <c r="J7" s="51"/>
      <c r="K7" s="337">
        <f>ROUND(IF(I7&lt;=3,I7,IF(I7&gt;3,"3")),2)</f>
        <v>1.83</v>
      </c>
      <c r="L7" s="65"/>
    </row>
    <row r="8" spans="2:26" ht="26.25" customHeight="1">
      <c r="B8" s="64"/>
      <c r="C8" s="65"/>
      <c r="D8" s="65"/>
      <c r="E8" s="65"/>
      <c r="F8" s="330"/>
      <c r="G8" s="65"/>
      <c r="H8" s="65"/>
      <c r="I8" s="65"/>
      <c r="J8" s="65"/>
      <c r="K8" s="65"/>
      <c r="L8" s="65"/>
    </row>
    <row r="9" spans="2:26" ht="26.25" customHeight="1" thickBot="1">
      <c r="B9" s="32" t="s">
        <v>268</v>
      </c>
      <c r="C9" s="63" t="str">
        <f>B4</f>
        <v>A사</v>
      </c>
      <c r="D9" s="67"/>
      <c r="E9" s="33"/>
      <c r="F9" s="33"/>
      <c r="G9" s="33"/>
      <c r="H9" s="58"/>
      <c r="I9" s="68"/>
      <c r="J9" s="68"/>
      <c r="K9" s="68"/>
      <c r="L9" s="44"/>
      <c r="N9" s="429" t="str">
        <f>참여업체현황!F2</f>
        <v>공고일</v>
      </c>
      <c r="O9" s="430">
        <f>참여업체현황!K2</f>
        <v>44073</v>
      </c>
    </row>
    <row r="10" spans="2:26" s="107" customFormat="1" ht="37.5" customHeight="1">
      <c r="B10" s="747" t="s">
        <v>218</v>
      </c>
      <c r="C10" s="749" t="s">
        <v>219</v>
      </c>
      <c r="D10" s="760" t="s">
        <v>220</v>
      </c>
      <c r="E10" s="760" t="s">
        <v>221</v>
      </c>
      <c r="F10" s="760" t="s">
        <v>293</v>
      </c>
      <c r="G10" s="749" t="s">
        <v>222</v>
      </c>
      <c r="H10" s="771" t="s">
        <v>298</v>
      </c>
      <c r="I10" s="772"/>
      <c r="J10" s="772"/>
      <c r="K10" s="772"/>
      <c r="L10" s="772"/>
      <c r="M10" s="764"/>
      <c r="N10" s="749" t="s">
        <v>43</v>
      </c>
      <c r="O10" s="753" t="s">
        <v>217</v>
      </c>
      <c r="Q10" s="751"/>
      <c r="R10" s="752"/>
    </row>
    <row r="11" spans="2:26" ht="26.25" customHeight="1" thickBot="1">
      <c r="B11" s="748"/>
      <c r="C11" s="750"/>
      <c r="D11" s="762"/>
      <c r="E11" s="762"/>
      <c r="F11" s="762"/>
      <c r="G11" s="762"/>
      <c r="H11" s="773"/>
      <c r="I11" s="774"/>
      <c r="J11" s="774"/>
      <c r="K11" s="774"/>
      <c r="L11" s="774"/>
      <c r="M11" s="775"/>
      <c r="N11" s="750"/>
      <c r="O11" s="754"/>
      <c r="Q11" s="88"/>
      <c r="R11" s="88"/>
    </row>
    <row r="12" spans="2:26" ht="26.25" customHeight="1">
      <c r="B12" s="755" t="s">
        <v>296</v>
      </c>
      <c r="C12" s="96">
        <v>1</v>
      </c>
      <c r="D12" s="346">
        <v>0</v>
      </c>
      <c r="E12" s="347" t="s">
        <v>224</v>
      </c>
      <c r="F12" s="347" t="s">
        <v>299</v>
      </c>
      <c r="G12" s="348">
        <v>1</v>
      </c>
      <c r="H12" s="768" t="s">
        <v>298</v>
      </c>
      <c r="I12" s="769"/>
      <c r="J12" s="769"/>
      <c r="K12" s="769"/>
      <c r="L12" s="769"/>
      <c r="M12" s="770"/>
      <c r="N12" s="130">
        <f>IF(G12=0,"해당없음",IF(G12&gt;0,1/G12))</f>
        <v>1</v>
      </c>
      <c r="O12" s="131"/>
      <c r="Q12" s="145"/>
      <c r="R12" s="145"/>
    </row>
    <row r="13" spans="2:26" ht="26.25" customHeight="1">
      <c r="B13" s="755"/>
      <c r="C13" s="96">
        <v>2</v>
      </c>
      <c r="D13" s="349">
        <v>0</v>
      </c>
      <c r="E13" s="95" t="s">
        <v>224</v>
      </c>
      <c r="F13" s="95" t="s">
        <v>300</v>
      </c>
      <c r="G13" s="350">
        <v>3</v>
      </c>
      <c r="H13" s="768" t="s">
        <v>64</v>
      </c>
      <c r="I13" s="769"/>
      <c r="J13" s="769"/>
      <c r="K13" s="769"/>
      <c r="L13" s="769"/>
      <c r="M13" s="770"/>
      <c r="N13" s="130">
        <f t="shared" ref="N13:N14" si="0">IF(G13=0,"해당없음",IF(G13&gt;0,1/G13))</f>
        <v>0.33333333333333331</v>
      </c>
      <c r="O13" s="131"/>
      <c r="Q13" s="145"/>
      <c r="R13" s="145"/>
      <c r="T13" s="85"/>
      <c r="U13" s="85"/>
      <c r="V13" s="85"/>
    </row>
    <row r="14" spans="2:26" ht="26.25" customHeight="1" thickBot="1">
      <c r="B14" s="755"/>
      <c r="C14" s="96">
        <v>3</v>
      </c>
      <c r="D14" s="351">
        <v>0</v>
      </c>
      <c r="E14" s="352" t="s">
        <v>224</v>
      </c>
      <c r="F14" s="352" t="s">
        <v>301</v>
      </c>
      <c r="G14" s="353">
        <v>2</v>
      </c>
      <c r="H14" s="768" t="s">
        <v>298</v>
      </c>
      <c r="I14" s="769"/>
      <c r="J14" s="769"/>
      <c r="K14" s="769"/>
      <c r="L14" s="769"/>
      <c r="M14" s="770"/>
      <c r="N14" s="130">
        <f t="shared" si="0"/>
        <v>0.5</v>
      </c>
      <c r="O14" s="131"/>
      <c r="Q14" s="145"/>
      <c r="R14" s="145"/>
    </row>
    <row r="15" spans="2:26" ht="26.25" customHeight="1" thickBot="1">
      <c r="B15" s="755"/>
      <c r="C15" s="756" t="s">
        <v>225</v>
      </c>
      <c r="D15" s="758"/>
      <c r="E15" s="758"/>
      <c r="F15" s="758"/>
      <c r="G15" s="758"/>
      <c r="H15" s="758"/>
      <c r="I15" s="758"/>
      <c r="J15" s="758"/>
      <c r="K15" s="758"/>
      <c r="L15" s="758"/>
      <c r="M15" s="759"/>
      <c r="N15" s="137">
        <f>SUM(N12:N14)</f>
        <v>1.8333333333333333</v>
      </c>
      <c r="O15" s="131"/>
    </row>
    <row r="16" spans="2:26" s="107" customFormat="1" ht="37.5" customHeight="1">
      <c r="B16" s="747" t="s">
        <v>59</v>
      </c>
      <c r="C16" s="749" t="s">
        <v>219</v>
      </c>
      <c r="D16" s="760" t="s">
        <v>220</v>
      </c>
      <c r="E16" s="760" t="s">
        <v>221</v>
      </c>
      <c r="F16" s="760" t="s">
        <v>293</v>
      </c>
      <c r="G16" s="749" t="s">
        <v>297</v>
      </c>
      <c r="H16" s="766" t="s">
        <v>302</v>
      </c>
      <c r="I16" s="767"/>
      <c r="J16" s="97" t="s">
        <v>223</v>
      </c>
      <c r="K16" s="766" t="s">
        <v>242</v>
      </c>
      <c r="L16" s="767"/>
      <c r="M16" s="749" t="s">
        <v>226</v>
      </c>
      <c r="N16" s="749" t="s">
        <v>43</v>
      </c>
      <c r="O16" s="753" t="s">
        <v>13</v>
      </c>
      <c r="Q16" s="751" t="s">
        <v>226</v>
      </c>
      <c r="R16" s="752"/>
    </row>
    <row r="17" spans="2:20" ht="26.25" customHeight="1" thickBot="1">
      <c r="B17" s="748"/>
      <c r="C17" s="750"/>
      <c r="D17" s="761"/>
      <c r="E17" s="761"/>
      <c r="F17" s="761"/>
      <c r="G17" s="762"/>
      <c r="H17" s="358" t="s">
        <v>227</v>
      </c>
      <c r="I17" s="358" t="s">
        <v>228</v>
      </c>
      <c r="J17" s="334" t="s">
        <v>229</v>
      </c>
      <c r="K17" s="358" t="s">
        <v>230</v>
      </c>
      <c r="L17" s="358" t="s">
        <v>231</v>
      </c>
      <c r="M17" s="750"/>
      <c r="N17" s="750"/>
      <c r="O17" s="754"/>
      <c r="Q17" s="88" t="s">
        <v>169</v>
      </c>
      <c r="R17" s="88" t="s">
        <v>170</v>
      </c>
    </row>
    <row r="18" spans="2:20" ht="26.25" customHeight="1">
      <c r="B18" s="755" t="s">
        <v>294</v>
      </c>
      <c r="C18" s="335">
        <v>1</v>
      </c>
      <c r="D18" s="346">
        <v>0</v>
      </c>
      <c r="E18" s="347" t="s">
        <v>224</v>
      </c>
      <c r="F18" s="354" t="s">
        <v>299</v>
      </c>
      <c r="G18" s="357" t="s">
        <v>298</v>
      </c>
      <c r="H18" s="359">
        <v>40453</v>
      </c>
      <c r="I18" s="360">
        <v>40544</v>
      </c>
      <c r="J18" s="365">
        <f>ROUND((참여업체현황!$K$2-'라.기술개발 및 투자실적'!I18+1)/365,2)</f>
        <v>9.67</v>
      </c>
      <c r="K18" s="368">
        <v>6</v>
      </c>
      <c r="L18" s="369">
        <v>22</v>
      </c>
      <c r="M18" s="367" t="str">
        <f>IF(Q18&gt;=R18, Q18,R18)</f>
        <v>1</v>
      </c>
      <c r="N18" s="128">
        <f>IF(J18&gt;3,0,0.5*M18)</f>
        <v>0</v>
      </c>
      <c r="O18" s="131"/>
      <c r="Q18" s="144" t="str">
        <f>IF(K18&lt;1, " ", IF(K18&gt;=5,"1", IF(K18&gt;=4, "0.9", IF(K18&gt;=3, "0.8", IF(K18&gt;=2,"0.7", IF(K18&gt;=1,"0.6"))))))</f>
        <v>1</v>
      </c>
      <c r="R18" s="144" t="str">
        <f>IF(L18&lt;12, " ", IF(L18&gt;=20,"1", IF(L18&gt;=18, "0.9", IF(L18&gt;=16, "0.8", IF(L18&gt;=14,"0.7", IF(L18&gt;=12,"0.6"))))))</f>
        <v>1</v>
      </c>
    </row>
    <row r="19" spans="2:20" ht="26.25" customHeight="1">
      <c r="B19" s="755"/>
      <c r="C19" s="335">
        <v>2</v>
      </c>
      <c r="D19" s="349">
        <v>0</v>
      </c>
      <c r="E19" s="95" t="s">
        <v>224</v>
      </c>
      <c r="F19" s="355" t="s">
        <v>300</v>
      </c>
      <c r="G19" s="357" t="s">
        <v>298</v>
      </c>
      <c r="H19" s="361">
        <v>40453</v>
      </c>
      <c r="I19" s="362">
        <v>41913</v>
      </c>
      <c r="J19" s="366">
        <f>ROUND((참여업체현황!$K$2-'라.기술개발 및 투자실적'!I19+1)/365,2)</f>
        <v>5.92</v>
      </c>
      <c r="K19" s="370">
        <v>2</v>
      </c>
      <c r="L19" s="371">
        <v>17</v>
      </c>
      <c r="M19" s="367" t="str">
        <f>IF(Q19&gt;=R19, Q19,R19)</f>
        <v>0.8</v>
      </c>
      <c r="N19" s="128">
        <f>IF(J19&gt;3,0,0.5*M19)</f>
        <v>0</v>
      </c>
      <c r="O19" s="131"/>
      <c r="Q19" s="144" t="str">
        <f>IF(K19&lt;1, " ", IF(K19&gt;=5,"1", IF(K19&gt;=4, "0.9", IF(K19&gt;=3, "0.8", IF(K19&gt;=2,"0.7", IF(K19&gt;=1,"0.6"))))))</f>
        <v>0.7</v>
      </c>
      <c r="R19" s="144" t="str">
        <f>IF(L19&lt;12, " ", IF(L19&gt;=20,"1", IF(L19&gt;=18, "0.9", IF(L19&gt;=16, "0.8", IF(L19&gt;=14,"0.7", IF(L19&gt;=12,"0.6"))))))</f>
        <v>0.8</v>
      </c>
    </row>
    <row r="20" spans="2:20" ht="26.25" customHeight="1" thickBot="1">
      <c r="B20" s="755"/>
      <c r="C20" s="335">
        <v>3</v>
      </c>
      <c r="D20" s="351">
        <v>0</v>
      </c>
      <c r="E20" s="352" t="s">
        <v>224</v>
      </c>
      <c r="F20" s="356" t="s">
        <v>301</v>
      </c>
      <c r="G20" s="357" t="s">
        <v>298</v>
      </c>
      <c r="H20" s="363">
        <v>40453</v>
      </c>
      <c r="I20" s="364">
        <v>41913</v>
      </c>
      <c r="J20" s="366">
        <f>ROUND((참여업체현황!$K$2-'라.기술개발 및 투자실적'!I20+1)/365,2)</f>
        <v>5.92</v>
      </c>
      <c r="K20" s="372">
        <v>1</v>
      </c>
      <c r="L20" s="373">
        <v>13</v>
      </c>
      <c r="M20" s="367" t="str">
        <f>IF(Q20&gt;=R20, Q20,R20)</f>
        <v>0.6</v>
      </c>
      <c r="N20" s="128">
        <f>IF(J20&gt;3,0,0.5*M20)</f>
        <v>0</v>
      </c>
      <c r="O20" s="131"/>
      <c r="Q20" s="144" t="str">
        <f>IF(K20&lt;1, " ", IF(K20&gt;=5,"1", IF(K20&gt;=4, "0.9", IF(K20&gt;=3, "0.8", IF(K20&gt;=2,"0.7", IF(K20&gt;=1,"0.6"))))))</f>
        <v>0.6</v>
      </c>
      <c r="R20" s="144" t="str">
        <f>IF(L20&lt;12, " ", IF(L20&gt;=20,"1", IF(L20&gt;=18, "0.9", IF(L20&gt;=16, "0.8", IF(L20&gt;=14,"0.7", IF(L20&gt;=12,"0.6"))))))</f>
        <v>0.6</v>
      </c>
    </row>
    <row r="21" spans="2:20" ht="26.25" customHeight="1" thickBot="1">
      <c r="B21" s="755"/>
      <c r="C21" s="756" t="s">
        <v>23</v>
      </c>
      <c r="D21" s="757"/>
      <c r="E21" s="757"/>
      <c r="F21" s="757"/>
      <c r="G21" s="758"/>
      <c r="H21" s="757"/>
      <c r="I21" s="757"/>
      <c r="J21" s="758"/>
      <c r="K21" s="757"/>
      <c r="L21" s="757"/>
      <c r="M21" s="759"/>
      <c r="N21" s="137">
        <f>SUM(N18:N20)</f>
        <v>0</v>
      </c>
      <c r="O21" s="131"/>
    </row>
    <row r="22" spans="2:20" s="107" customFormat="1" ht="37.5" customHeight="1">
      <c r="B22" s="747" t="s">
        <v>59</v>
      </c>
      <c r="C22" s="749" t="s">
        <v>219</v>
      </c>
      <c r="D22" s="760" t="s">
        <v>220</v>
      </c>
      <c r="E22" s="760" t="s">
        <v>221</v>
      </c>
      <c r="F22" s="760" t="s">
        <v>293</v>
      </c>
      <c r="G22" s="749" t="s">
        <v>297</v>
      </c>
      <c r="H22" s="749" t="s">
        <v>303</v>
      </c>
      <c r="I22" s="764" t="s">
        <v>308</v>
      </c>
      <c r="J22" s="97" t="s">
        <v>307</v>
      </c>
      <c r="K22" s="766" t="s">
        <v>242</v>
      </c>
      <c r="L22" s="767"/>
      <c r="M22" s="749" t="s">
        <v>306</v>
      </c>
      <c r="N22" s="749" t="s">
        <v>43</v>
      </c>
      <c r="O22" s="753" t="s">
        <v>13</v>
      </c>
      <c r="Q22" s="751" t="s">
        <v>304</v>
      </c>
      <c r="R22" s="752"/>
      <c r="S22" s="344" t="s">
        <v>305</v>
      </c>
      <c r="T22" s="344" t="s">
        <v>304</v>
      </c>
    </row>
    <row r="23" spans="2:20" ht="26.25" customHeight="1" thickBot="1">
      <c r="B23" s="748"/>
      <c r="C23" s="750"/>
      <c r="D23" s="761"/>
      <c r="E23" s="761"/>
      <c r="F23" s="761"/>
      <c r="G23" s="762"/>
      <c r="H23" s="763"/>
      <c r="I23" s="765"/>
      <c r="J23" s="334" t="s">
        <v>229</v>
      </c>
      <c r="K23" s="358" t="s">
        <v>230</v>
      </c>
      <c r="L23" s="358" t="s">
        <v>231</v>
      </c>
      <c r="M23" s="750"/>
      <c r="N23" s="750"/>
      <c r="O23" s="754"/>
      <c r="Q23" s="88" t="s">
        <v>169</v>
      </c>
      <c r="R23" s="88" t="s">
        <v>170</v>
      </c>
      <c r="S23" s="88" t="s">
        <v>169</v>
      </c>
      <c r="T23" s="88" t="s">
        <v>169</v>
      </c>
    </row>
    <row r="24" spans="2:20" ht="26.25" customHeight="1">
      <c r="B24" s="755" t="s">
        <v>295</v>
      </c>
      <c r="C24" s="335">
        <v>1</v>
      </c>
      <c r="D24" s="346">
        <v>0</v>
      </c>
      <c r="E24" s="347" t="s">
        <v>224</v>
      </c>
      <c r="F24" s="354" t="s">
        <v>299</v>
      </c>
      <c r="G24" s="357" t="s">
        <v>298</v>
      </c>
      <c r="H24" s="359">
        <v>42055</v>
      </c>
      <c r="I24" s="360">
        <v>40453</v>
      </c>
      <c r="J24" s="366">
        <f>ROUND((참여업체현황!$K$2-I24)/365,2)</f>
        <v>9.92</v>
      </c>
      <c r="K24" s="368">
        <v>6</v>
      </c>
      <c r="L24" s="369">
        <v>22</v>
      </c>
      <c r="M24" s="374">
        <f>S24*T24</f>
        <v>0.8</v>
      </c>
      <c r="N24" s="128">
        <f>IF(('라.기술개발 및 투자실적'!H24-참여업체현황!$K$2)&lt;0,0,0.3*M24)</f>
        <v>0</v>
      </c>
      <c r="O24" s="131"/>
      <c r="Q24" s="144" t="str">
        <f>IF(K24&lt;1, " ", IF(K24&gt;=5,"1", IF(K24&gt;=4, "0.9", IF(K24&gt;=3, "0.8", IF(K24&gt;=2,"0.7", IF(K24&gt;=1,"0.6"))))))</f>
        <v>1</v>
      </c>
      <c r="R24" s="144" t="str">
        <f>IF(L24&lt;12, " ", IF(L24&gt;=20,"1", IF(L24&gt;=18, "0.9", IF(L24&gt;=16, "0.8", IF(L24&gt;=14,"0.7", IF(L24&gt;=12,"0.6"))))))</f>
        <v>1</v>
      </c>
      <c r="S24" s="144" t="str">
        <f>IF(Q24&gt;=R24, Q24,R24)</f>
        <v>1</v>
      </c>
      <c r="T24" s="144">
        <f>IF(J24&gt;=20,0,IF(J24&gt;=10,0.6,IF(J24&gt;=5,0.8,IF(J24&lt;5,1))))</f>
        <v>0.8</v>
      </c>
    </row>
    <row r="25" spans="2:20" ht="26.25" customHeight="1">
      <c r="B25" s="755"/>
      <c r="C25" s="335">
        <v>2</v>
      </c>
      <c r="D25" s="349">
        <v>0</v>
      </c>
      <c r="E25" s="95" t="s">
        <v>224</v>
      </c>
      <c r="F25" s="355" t="s">
        <v>300</v>
      </c>
      <c r="G25" s="357" t="s">
        <v>298</v>
      </c>
      <c r="H25" s="361">
        <v>43120</v>
      </c>
      <c r="I25" s="362">
        <v>40453</v>
      </c>
      <c r="J25" s="366">
        <f>ROUND((참여업체현황!$K$2-I25)/365,2)</f>
        <v>9.92</v>
      </c>
      <c r="K25" s="370">
        <v>2</v>
      </c>
      <c r="L25" s="371">
        <v>17</v>
      </c>
      <c r="M25" s="374">
        <f t="shared" ref="M25:M26" si="1">S25*T25</f>
        <v>0.64000000000000012</v>
      </c>
      <c r="N25" s="128">
        <f>IF(('라.기술개발 및 투자실적'!H25-참여업체현황!$K$2)&lt;0,0,0.3*M25)</f>
        <v>0</v>
      </c>
      <c r="O25" s="131"/>
      <c r="Q25" s="144" t="str">
        <f>IF(K25&lt;1, " ", IF(K25&gt;=5,"1", IF(K25&gt;=4, "0.9", IF(K25&gt;=3, "0.8", IF(K25&gt;=2,"0.7", IF(K25&gt;=1,"0.6"))))))</f>
        <v>0.7</v>
      </c>
      <c r="R25" s="144" t="str">
        <f>IF(L25&lt;12, " ", IF(L25&gt;=20,"1", IF(L25&gt;=18, "0.9", IF(L25&gt;=16, "0.8", IF(L25&gt;=14,"0.7", IF(L25&gt;=12,"0.6"))))))</f>
        <v>0.8</v>
      </c>
      <c r="S25" s="144" t="str">
        <f t="shared" ref="S25:S26" si="2">IF(Q25&gt;=R25, Q25,R25)</f>
        <v>0.8</v>
      </c>
      <c r="T25" s="144">
        <f t="shared" ref="T25:T26" si="3">IF(J25&gt;=20,0,IF(J25&gt;=10,0.6,IF(J25&gt;=5,0.8,IF(J25&lt;5,1))))</f>
        <v>0.8</v>
      </c>
    </row>
    <row r="26" spans="2:20" ht="26.25" customHeight="1" thickBot="1">
      <c r="B26" s="755"/>
      <c r="C26" s="335">
        <v>3</v>
      </c>
      <c r="D26" s="351">
        <v>0</v>
      </c>
      <c r="E26" s="352" t="s">
        <v>224</v>
      </c>
      <c r="F26" s="356" t="s">
        <v>301</v>
      </c>
      <c r="G26" s="357" t="s">
        <v>298</v>
      </c>
      <c r="H26" s="363">
        <v>41942</v>
      </c>
      <c r="I26" s="364">
        <v>40453</v>
      </c>
      <c r="J26" s="366">
        <f>ROUND((참여업체현황!$K$2-I26)/365,2)</f>
        <v>9.92</v>
      </c>
      <c r="K26" s="372">
        <v>1</v>
      </c>
      <c r="L26" s="373">
        <v>13</v>
      </c>
      <c r="M26" s="374">
        <f t="shared" si="1"/>
        <v>0.48</v>
      </c>
      <c r="N26" s="128">
        <f>IF(('라.기술개발 및 투자실적'!H26-참여업체현황!$K$2)&lt;0,0,0.3*M26)</f>
        <v>0</v>
      </c>
      <c r="O26" s="131"/>
      <c r="Q26" s="144" t="str">
        <f>IF(K26&lt;1, " ", IF(K26&gt;=5,"1", IF(K26&gt;=4, "0.9", IF(K26&gt;=3, "0.8", IF(K26&gt;=2,"0.7", IF(K26&gt;=1,"0.6"))))))</f>
        <v>0.6</v>
      </c>
      <c r="R26" s="144" t="str">
        <f>IF(L26&lt;12, " ", IF(L26&gt;=20,"1", IF(L26&gt;=18, "0.9", IF(L26&gt;=16, "0.8", IF(L26&gt;=14,"0.7", IF(L26&gt;=12,"0.6"))))))</f>
        <v>0.6</v>
      </c>
      <c r="S26" s="144" t="str">
        <f t="shared" si="2"/>
        <v>0.6</v>
      </c>
      <c r="T26" s="144">
        <f t="shared" si="3"/>
        <v>0.8</v>
      </c>
    </row>
    <row r="27" spans="2:20" ht="26.25" customHeight="1">
      <c r="B27" s="755"/>
      <c r="C27" s="756" t="s">
        <v>23</v>
      </c>
      <c r="D27" s="757"/>
      <c r="E27" s="757"/>
      <c r="F27" s="757"/>
      <c r="G27" s="758"/>
      <c r="H27" s="757"/>
      <c r="I27" s="757"/>
      <c r="J27" s="758"/>
      <c r="K27" s="757"/>
      <c r="L27" s="757"/>
      <c r="M27" s="759"/>
      <c r="N27" s="137">
        <f>SUM(N24:N26)</f>
        <v>0</v>
      </c>
      <c r="O27" s="131"/>
    </row>
    <row r="28" spans="2:20" ht="26.25" customHeight="1" thickBot="1">
      <c r="B28" s="781" t="s">
        <v>206</v>
      </c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129">
        <f>ROUND(N15+N21+N27,2)</f>
        <v>1.83</v>
      </c>
      <c r="O28" s="132"/>
    </row>
    <row r="29" spans="2:20" ht="26.25" customHeight="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5"/>
      <c r="O29" s="105"/>
    </row>
    <row r="30" spans="2:20" ht="26.25" customHeight="1" thickBot="1">
      <c r="B30" s="32" t="s">
        <v>268</v>
      </c>
      <c r="C30" s="63" t="str">
        <f>B5</f>
        <v>B사</v>
      </c>
      <c r="D30" s="67"/>
      <c r="E30" s="33"/>
      <c r="F30" s="33"/>
      <c r="G30" s="33"/>
      <c r="H30" s="58"/>
      <c r="I30" s="68"/>
      <c r="J30" s="68"/>
      <c r="K30" s="68"/>
      <c r="L30" s="44"/>
    </row>
    <row r="31" spans="2:20" s="107" customFormat="1" ht="37.5" customHeight="1">
      <c r="B31" s="747" t="s">
        <v>59</v>
      </c>
      <c r="C31" s="749" t="s">
        <v>219</v>
      </c>
      <c r="D31" s="760" t="s">
        <v>220</v>
      </c>
      <c r="E31" s="760" t="s">
        <v>221</v>
      </c>
      <c r="F31" s="760" t="s">
        <v>293</v>
      </c>
      <c r="G31" s="749" t="s">
        <v>222</v>
      </c>
      <c r="H31" s="771" t="s">
        <v>298</v>
      </c>
      <c r="I31" s="772"/>
      <c r="J31" s="772"/>
      <c r="K31" s="772"/>
      <c r="L31" s="772"/>
      <c r="M31" s="764"/>
      <c r="N31" s="749" t="s">
        <v>43</v>
      </c>
      <c r="O31" s="753" t="s">
        <v>13</v>
      </c>
      <c r="Q31" s="751"/>
      <c r="R31" s="752"/>
    </row>
    <row r="32" spans="2:20" ht="26.25" customHeight="1" thickBot="1">
      <c r="B32" s="748"/>
      <c r="C32" s="750"/>
      <c r="D32" s="761"/>
      <c r="E32" s="761"/>
      <c r="F32" s="761"/>
      <c r="G32" s="761"/>
      <c r="H32" s="773"/>
      <c r="I32" s="774"/>
      <c r="J32" s="774"/>
      <c r="K32" s="774"/>
      <c r="L32" s="774"/>
      <c r="M32" s="775"/>
      <c r="N32" s="750"/>
      <c r="O32" s="754"/>
      <c r="Q32" s="88"/>
      <c r="R32" s="88"/>
    </row>
    <row r="33" spans="2:22" ht="26.25" customHeight="1">
      <c r="B33" s="755" t="s">
        <v>296</v>
      </c>
      <c r="C33" s="96">
        <v>1</v>
      </c>
      <c r="D33" s="346">
        <v>0</v>
      </c>
      <c r="E33" s="347" t="s">
        <v>224</v>
      </c>
      <c r="F33" s="347" t="s">
        <v>299</v>
      </c>
      <c r="G33" s="348">
        <v>1</v>
      </c>
      <c r="H33" s="768" t="s">
        <v>298</v>
      </c>
      <c r="I33" s="769"/>
      <c r="J33" s="769"/>
      <c r="K33" s="769"/>
      <c r="L33" s="769"/>
      <c r="M33" s="770"/>
      <c r="N33" s="130">
        <f>IF(G33=0,"해당없음",IF(G33&gt;0,1/G33))</f>
        <v>1</v>
      </c>
      <c r="O33" s="131"/>
      <c r="Q33" s="145"/>
      <c r="R33" s="145"/>
    </row>
    <row r="34" spans="2:22" ht="26.25" customHeight="1">
      <c r="B34" s="755"/>
      <c r="C34" s="96">
        <v>2</v>
      </c>
      <c r="D34" s="349">
        <v>0</v>
      </c>
      <c r="E34" s="95" t="s">
        <v>224</v>
      </c>
      <c r="F34" s="95" t="s">
        <v>300</v>
      </c>
      <c r="G34" s="350">
        <v>3</v>
      </c>
      <c r="H34" s="768" t="s">
        <v>64</v>
      </c>
      <c r="I34" s="769"/>
      <c r="J34" s="769"/>
      <c r="K34" s="769"/>
      <c r="L34" s="769"/>
      <c r="M34" s="770"/>
      <c r="N34" s="130">
        <f t="shared" ref="N34:N35" si="4">IF(G34=0,"해당없음",IF(G34&gt;0,1/G34))</f>
        <v>0.33333333333333331</v>
      </c>
      <c r="O34" s="131"/>
      <c r="Q34" s="145"/>
      <c r="R34" s="145"/>
      <c r="T34" s="85"/>
      <c r="U34" s="85"/>
      <c r="V34" s="85"/>
    </row>
    <row r="35" spans="2:22" ht="26.25" customHeight="1" thickBot="1">
      <c r="B35" s="755"/>
      <c r="C35" s="96">
        <v>3</v>
      </c>
      <c r="D35" s="351">
        <v>0</v>
      </c>
      <c r="E35" s="352" t="s">
        <v>224</v>
      </c>
      <c r="F35" s="352" t="s">
        <v>301</v>
      </c>
      <c r="G35" s="353">
        <v>2</v>
      </c>
      <c r="H35" s="768" t="s">
        <v>298</v>
      </c>
      <c r="I35" s="769"/>
      <c r="J35" s="769"/>
      <c r="K35" s="769"/>
      <c r="L35" s="769"/>
      <c r="M35" s="770"/>
      <c r="N35" s="130">
        <f t="shared" si="4"/>
        <v>0.5</v>
      </c>
      <c r="O35" s="131"/>
      <c r="Q35" s="145"/>
      <c r="R35" s="145"/>
    </row>
    <row r="36" spans="2:22" ht="26.25" customHeight="1" thickBot="1">
      <c r="B36" s="755"/>
      <c r="C36" s="756" t="s">
        <v>23</v>
      </c>
      <c r="D36" s="758"/>
      <c r="E36" s="758"/>
      <c r="F36" s="758"/>
      <c r="G36" s="758"/>
      <c r="H36" s="758"/>
      <c r="I36" s="758"/>
      <c r="J36" s="758"/>
      <c r="K36" s="758"/>
      <c r="L36" s="758"/>
      <c r="M36" s="759"/>
      <c r="N36" s="137">
        <f>SUM(N33:N35)</f>
        <v>1.8333333333333333</v>
      </c>
      <c r="O36" s="131"/>
    </row>
    <row r="37" spans="2:22" s="107" customFormat="1" ht="37.5" customHeight="1">
      <c r="B37" s="747" t="s">
        <v>59</v>
      </c>
      <c r="C37" s="749" t="s">
        <v>219</v>
      </c>
      <c r="D37" s="760" t="s">
        <v>220</v>
      </c>
      <c r="E37" s="760" t="s">
        <v>221</v>
      </c>
      <c r="F37" s="760" t="s">
        <v>293</v>
      </c>
      <c r="G37" s="749" t="s">
        <v>297</v>
      </c>
      <c r="H37" s="766" t="s">
        <v>302</v>
      </c>
      <c r="I37" s="767"/>
      <c r="J37" s="97" t="s">
        <v>223</v>
      </c>
      <c r="K37" s="766" t="s">
        <v>242</v>
      </c>
      <c r="L37" s="767"/>
      <c r="M37" s="749" t="s">
        <v>226</v>
      </c>
      <c r="N37" s="749" t="s">
        <v>43</v>
      </c>
      <c r="O37" s="753" t="s">
        <v>13</v>
      </c>
      <c r="Q37" s="751" t="s">
        <v>226</v>
      </c>
      <c r="R37" s="752"/>
    </row>
    <row r="38" spans="2:22" ht="26.25" customHeight="1" thickBot="1">
      <c r="B38" s="748"/>
      <c r="C38" s="750"/>
      <c r="D38" s="761"/>
      <c r="E38" s="761"/>
      <c r="F38" s="761"/>
      <c r="G38" s="762"/>
      <c r="H38" s="358" t="s">
        <v>227</v>
      </c>
      <c r="I38" s="358" t="s">
        <v>228</v>
      </c>
      <c r="J38" s="334" t="s">
        <v>229</v>
      </c>
      <c r="K38" s="358" t="s">
        <v>230</v>
      </c>
      <c r="L38" s="358" t="s">
        <v>231</v>
      </c>
      <c r="M38" s="750"/>
      <c r="N38" s="750"/>
      <c r="O38" s="754"/>
      <c r="Q38" s="88" t="s">
        <v>169</v>
      </c>
      <c r="R38" s="88" t="s">
        <v>170</v>
      </c>
    </row>
    <row r="39" spans="2:22" ht="26.25" customHeight="1">
      <c r="B39" s="755" t="s">
        <v>294</v>
      </c>
      <c r="C39" s="335">
        <v>1</v>
      </c>
      <c r="D39" s="346">
        <v>0</v>
      </c>
      <c r="E39" s="347" t="s">
        <v>224</v>
      </c>
      <c r="F39" s="354" t="s">
        <v>299</v>
      </c>
      <c r="G39" s="357" t="s">
        <v>298</v>
      </c>
      <c r="H39" s="359">
        <v>40453</v>
      </c>
      <c r="I39" s="360">
        <v>40544</v>
      </c>
      <c r="J39" s="365">
        <f>ROUND((참여업체현황!$K$2-'라.기술개발 및 투자실적'!I39+1)/365,2)</f>
        <v>9.67</v>
      </c>
      <c r="K39" s="368">
        <v>6</v>
      </c>
      <c r="L39" s="369">
        <v>22</v>
      </c>
      <c r="M39" s="367" t="str">
        <f>IF(Q39&gt;=R39, Q39,R39)</f>
        <v>1</v>
      </c>
      <c r="N39" s="128">
        <f>IF(J39&gt;3,0,0.5*M39)</f>
        <v>0</v>
      </c>
      <c r="O39" s="131"/>
      <c r="Q39" s="144" t="str">
        <f>IF(K39&lt;1, " ", IF(K39&gt;=5,"1", IF(K39&gt;=4, "0.9", IF(K39&gt;=3, "0.8", IF(K39&gt;=2,"0.7", IF(K39&gt;=1,"0.6"))))))</f>
        <v>1</v>
      </c>
      <c r="R39" s="144" t="str">
        <f>IF(L39&lt;12, " ", IF(L39&gt;=20,"1", IF(L39&gt;=18, "0.9", IF(L39&gt;=16, "0.8", IF(L39&gt;=14,"0.7", IF(L39&gt;=12,"0.6"))))))</f>
        <v>1</v>
      </c>
    </row>
    <row r="40" spans="2:22" ht="26.25" customHeight="1">
      <c r="B40" s="755"/>
      <c r="C40" s="335">
        <v>2</v>
      </c>
      <c r="D40" s="349">
        <v>0</v>
      </c>
      <c r="E40" s="95" t="s">
        <v>224</v>
      </c>
      <c r="F40" s="355" t="s">
        <v>300</v>
      </c>
      <c r="G40" s="357" t="s">
        <v>298</v>
      </c>
      <c r="H40" s="361">
        <v>40453</v>
      </c>
      <c r="I40" s="362">
        <v>41913</v>
      </c>
      <c r="J40" s="366">
        <f>ROUND((참여업체현황!$K$2-'라.기술개발 및 투자실적'!I40+1)/365,2)</f>
        <v>5.92</v>
      </c>
      <c r="K40" s="370">
        <v>2</v>
      </c>
      <c r="L40" s="371">
        <v>17</v>
      </c>
      <c r="M40" s="367" t="str">
        <f>IF(Q40&gt;=R40, Q40,R40)</f>
        <v>0.8</v>
      </c>
      <c r="N40" s="128">
        <f>IF(J40&gt;3,0,0.5*M40)</f>
        <v>0</v>
      </c>
      <c r="O40" s="131"/>
      <c r="Q40" s="144" t="str">
        <f>IF(K40&lt;1, " ", IF(K40&gt;=5,"1", IF(K40&gt;=4, "0.9", IF(K40&gt;=3, "0.8", IF(K40&gt;=2,"0.7", IF(K40&gt;=1,"0.6"))))))</f>
        <v>0.7</v>
      </c>
      <c r="R40" s="144" t="str">
        <f>IF(L40&lt;12, " ", IF(L40&gt;=20,"1", IF(L40&gt;=18, "0.9", IF(L40&gt;=16, "0.8", IF(L40&gt;=14,"0.7", IF(L40&gt;=12,"0.6"))))))</f>
        <v>0.8</v>
      </c>
    </row>
    <row r="41" spans="2:22" ht="26.25" customHeight="1" thickBot="1">
      <c r="B41" s="755"/>
      <c r="C41" s="335">
        <v>3</v>
      </c>
      <c r="D41" s="351">
        <v>0</v>
      </c>
      <c r="E41" s="352" t="s">
        <v>224</v>
      </c>
      <c r="F41" s="356" t="s">
        <v>301</v>
      </c>
      <c r="G41" s="357" t="s">
        <v>298</v>
      </c>
      <c r="H41" s="363">
        <v>40453</v>
      </c>
      <c r="I41" s="364">
        <v>41913</v>
      </c>
      <c r="J41" s="366">
        <f>ROUND((참여업체현황!$K$2-'라.기술개발 및 투자실적'!I41+1)/365,2)</f>
        <v>5.92</v>
      </c>
      <c r="K41" s="372">
        <v>1</v>
      </c>
      <c r="L41" s="373">
        <v>13</v>
      </c>
      <c r="M41" s="367" t="str">
        <f>IF(Q41&gt;=R41, Q41,R41)</f>
        <v>0.6</v>
      </c>
      <c r="N41" s="128">
        <f>IF(J41&gt;3,0,0.5*M41)</f>
        <v>0</v>
      </c>
      <c r="O41" s="131"/>
      <c r="Q41" s="144" t="str">
        <f>IF(K41&lt;1, " ", IF(K41&gt;=5,"1", IF(K41&gt;=4, "0.9", IF(K41&gt;=3, "0.8", IF(K41&gt;=2,"0.7", IF(K41&gt;=1,"0.6"))))))</f>
        <v>0.6</v>
      </c>
      <c r="R41" s="144" t="str">
        <f>IF(L41&lt;12, " ", IF(L41&gt;=20,"1", IF(L41&gt;=18, "0.9", IF(L41&gt;=16, "0.8", IF(L41&gt;=14,"0.7", IF(L41&gt;=12,"0.6"))))))</f>
        <v>0.6</v>
      </c>
    </row>
    <row r="42" spans="2:22" ht="26.25" customHeight="1" thickBot="1">
      <c r="B42" s="755"/>
      <c r="C42" s="756" t="s">
        <v>23</v>
      </c>
      <c r="D42" s="757"/>
      <c r="E42" s="757"/>
      <c r="F42" s="757"/>
      <c r="G42" s="758"/>
      <c r="H42" s="757"/>
      <c r="I42" s="757"/>
      <c r="J42" s="758"/>
      <c r="K42" s="757"/>
      <c r="L42" s="757"/>
      <c r="M42" s="759"/>
      <c r="N42" s="137">
        <f>SUM(N39:N41)</f>
        <v>0</v>
      </c>
      <c r="O42" s="131"/>
    </row>
    <row r="43" spans="2:22" s="107" customFormat="1" ht="37.5" customHeight="1">
      <c r="B43" s="747" t="s">
        <v>59</v>
      </c>
      <c r="C43" s="749" t="s">
        <v>219</v>
      </c>
      <c r="D43" s="760" t="s">
        <v>220</v>
      </c>
      <c r="E43" s="760" t="s">
        <v>221</v>
      </c>
      <c r="F43" s="760" t="s">
        <v>293</v>
      </c>
      <c r="G43" s="749" t="s">
        <v>297</v>
      </c>
      <c r="H43" s="749" t="s">
        <v>303</v>
      </c>
      <c r="I43" s="764" t="s">
        <v>308</v>
      </c>
      <c r="J43" s="97" t="s">
        <v>307</v>
      </c>
      <c r="K43" s="766" t="s">
        <v>242</v>
      </c>
      <c r="L43" s="767"/>
      <c r="M43" s="749" t="s">
        <v>306</v>
      </c>
      <c r="N43" s="749" t="s">
        <v>43</v>
      </c>
      <c r="O43" s="753" t="s">
        <v>13</v>
      </c>
      <c r="Q43" s="751" t="s">
        <v>304</v>
      </c>
      <c r="R43" s="752"/>
      <c r="S43" s="344" t="s">
        <v>305</v>
      </c>
      <c r="T43" s="344" t="s">
        <v>304</v>
      </c>
    </row>
    <row r="44" spans="2:22" ht="26.25" customHeight="1" thickBot="1">
      <c r="B44" s="748"/>
      <c r="C44" s="750"/>
      <c r="D44" s="761"/>
      <c r="E44" s="761"/>
      <c r="F44" s="761"/>
      <c r="G44" s="762"/>
      <c r="H44" s="763"/>
      <c r="I44" s="765"/>
      <c r="J44" s="334" t="s">
        <v>229</v>
      </c>
      <c r="K44" s="358" t="s">
        <v>230</v>
      </c>
      <c r="L44" s="358" t="s">
        <v>231</v>
      </c>
      <c r="M44" s="750"/>
      <c r="N44" s="750"/>
      <c r="O44" s="754"/>
      <c r="Q44" s="88" t="s">
        <v>169</v>
      </c>
      <c r="R44" s="88" t="s">
        <v>170</v>
      </c>
      <c r="S44" s="88" t="s">
        <v>169</v>
      </c>
      <c r="T44" s="88" t="s">
        <v>169</v>
      </c>
    </row>
    <row r="45" spans="2:22" ht="26.25" customHeight="1">
      <c r="B45" s="755" t="s">
        <v>295</v>
      </c>
      <c r="C45" s="335">
        <v>1</v>
      </c>
      <c r="D45" s="346">
        <v>0</v>
      </c>
      <c r="E45" s="347" t="s">
        <v>224</v>
      </c>
      <c r="F45" s="354" t="s">
        <v>299</v>
      </c>
      <c r="G45" s="357" t="s">
        <v>298</v>
      </c>
      <c r="H45" s="359">
        <v>42055</v>
      </c>
      <c r="I45" s="360">
        <v>40453</v>
      </c>
      <c r="J45" s="366">
        <f>ROUND((참여업체현황!$K$2-I45)/365,2)</f>
        <v>9.92</v>
      </c>
      <c r="K45" s="368">
        <v>6</v>
      </c>
      <c r="L45" s="369">
        <v>22</v>
      </c>
      <c r="M45" s="374">
        <f>S45*T45</f>
        <v>0.8</v>
      </c>
      <c r="N45" s="128">
        <f>IF(('라.기술개발 및 투자실적'!H45-참여업체현황!$K$2)&lt;0,0,0.3*M45)</f>
        <v>0</v>
      </c>
      <c r="O45" s="131"/>
      <c r="Q45" s="144" t="str">
        <f>IF(K45&lt;1, " ", IF(K45&gt;=5,"1", IF(K45&gt;=4, "0.9", IF(K45&gt;=3, "0.8", IF(K45&gt;=2,"0.7", IF(K45&gt;=1,"0.6"))))))</f>
        <v>1</v>
      </c>
      <c r="R45" s="144" t="str">
        <f>IF(L45&lt;12, " ", IF(L45&gt;=20,"1", IF(L45&gt;=18, "0.9", IF(L45&gt;=16, "0.8", IF(L45&gt;=14,"0.7", IF(L45&gt;=12,"0.6"))))))</f>
        <v>1</v>
      </c>
      <c r="S45" s="144" t="str">
        <f>IF(Q45&gt;=R45, Q45,R45)</f>
        <v>1</v>
      </c>
      <c r="T45" s="144">
        <f>IF(J45&gt;=20,0,IF(J45&gt;=10,0.6,IF(J45&gt;=5,0.8,IF(J45&lt;5,1))))</f>
        <v>0.8</v>
      </c>
    </row>
    <row r="46" spans="2:22" ht="26.25" customHeight="1">
      <c r="B46" s="755"/>
      <c r="C46" s="335">
        <v>2</v>
      </c>
      <c r="D46" s="349">
        <v>0</v>
      </c>
      <c r="E46" s="95" t="s">
        <v>224</v>
      </c>
      <c r="F46" s="355" t="s">
        <v>300</v>
      </c>
      <c r="G46" s="357" t="s">
        <v>298</v>
      </c>
      <c r="H46" s="361">
        <v>43120</v>
      </c>
      <c r="I46" s="362">
        <v>40453</v>
      </c>
      <c r="J46" s="366">
        <f>ROUND((참여업체현황!$K$2-I46)/365,2)</f>
        <v>9.92</v>
      </c>
      <c r="K46" s="370">
        <v>2</v>
      </c>
      <c r="L46" s="371">
        <v>17</v>
      </c>
      <c r="M46" s="374">
        <f t="shared" ref="M46:M47" si="5">S46*T46</f>
        <v>0.64000000000000012</v>
      </c>
      <c r="N46" s="128">
        <f>IF(('라.기술개발 및 투자실적'!H46-참여업체현황!$K$2)&lt;0,0,0.3*M46)</f>
        <v>0</v>
      </c>
      <c r="O46" s="131"/>
      <c r="Q46" s="144" t="str">
        <f>IF(K46&lt;1, " ", IF(K46&gt;=5,"1", IF(K46&gt;=4, "0.9", IF(K46&gt;=3, "0.8", IF(K46&gt;=2,"0.7", IF(K46&gt;=1,"0.6"))))))</f>
        <v>0.7</v>
      </c>
      <c r="R46" s="144" t="str">
        <f>IF(L46&lt;12, " ", IF(L46&gt;=20,"1", IF(L46&gt;=18, "0.9", IF(L46&gt;=16, "0.8", IF(L46&gt;=14,"0.7", IF(L46&gt;=12,"0.6"))))))</f>
        <v>0.8</v>
      </c>
      <c r="S46" s="144" t="str">
        <f t="shared" ref="S46:S47" si="6">IF(Q46&gt;=R46, Q46,R46)</f>
        <v>0.8</v>
      </c>
      <c r="T46" s="144">
        <f t="shared" ref="T46:T47" si="7">IF(J46&gt;=20,0,IF(J46&gt;=10,0.6,IF(J46&gt;=5,0.8,IF(J46&lt;5,1))))</f>
        <v>0.8</v>
      </c>
    </row>
    <row r="47" spans="2:22" ht="26.25" customHeight="1" thickBot="1">
      <c r="B47" s="755"/>
      <c r="C47" s="335">
        <v>3</v>
      </c>
      <c r="D47" s="351">
        <v>0</v>
      </c>
      <c r="E47" s="352" t="s">
        <v>224</v>
      </c>
      <c r="F47" s="356" t="s">
        <v>301</v>
      </c>
      <c r="G47" s="357" t="s">
        <v>298</v>
      </c>
      <c r="H47" s="363">
        <v>41942</v>
      </c>
      <c r="I47" s="364">
        <v>40453</v>
      </c>
      <c r="J47" s="366">
        <f>ROUND((참여업체현황!$K$2-I47)/365,2)</f>
        <v>9.92</v>
      </c>
      <c r="K47" s="372">
        <v>1</v>
      </c>
      <c r="L47" s="373">
        <v>13</v>
      </c>
      <c r="M47" s="374">
        <f t="shared" si="5"/>
        <v>0.48</v>
      </c>
      <c r="N47" s="128">
        <f>IF(('라.기술개발 및 투자실적'!H47-참여업체현황!$K$2)&lt;0,0,0.3*M47)</f>
        <v>0</v>
      </c>
      <c r="O47" s="131"/>
      <c r="Q47" s="144" t="str">
        <f>IF(K47&lt;1, " ", IF(K47&gt;=5,"1", IF(K47&gt;=4, "0.9", IF(K47&gt;=3, "0.8", IF(K47&gt;=2,"0.7", IF(K47&gt;=1,"0.6"))))))</f>
        <v>0.6</v>
      </c>
      <c r="R47" s="144" t="str">
        <f>IF(L47&lt;12, " ", IF(L47&gt;=20,"1", IF(L47&gt;=18, "0.9", IF(L47&gt;=16, "0.8", IF(L47&gt;=14,"0.7", IF(L47&gt;=12,"0.6"))))))</f>
        <v>0.6</v>
      </c>
      <c r="S47" s="144" t="str">
        <f t="shared" si="6"/>
        <v>0.6</v>
      </c>
      <c r="T47" s="144">
        <f t="shared" si="7"/>
        <v>0.8</v>
      </c>
    </row>
    <row r="48" spans="2:22" ht="26.25" customHeight="1">
      <c r="B48" s="755"/>
      <c r="C48" s="756" t="s">
        <v>23</v>
      </c>
      <c r="D48" s="757"/>
      <c r="E48" s="757"/>
      <c r="F48" s="757"/>
      <c r="G48" s="758"/>
      <c r="H48" s="757"/>
      <c r="I48" s="757"/>
      <c r="J48" s="758"/>
      <c r="K48" s="757"/>
      <c r="L48" s="757"/>
      <c r="M48" s="759"/>
      <c r="N48" s="137">
        <f>SUM(N45:N47)</f>
        <v>0</v>
      </c>
      <c r="O48" s="131"/>
    </row>
    <row r="49" spans="2:22" ht="26.25" customHeight="1" thickBot="1">
      <c r="B49" s="781" t="s">
        <v>4</v>
      </c>
      <c r="C49" s="782"/>
      <c r="D49" s="782"/>
      <c r="E49" s="782"/>
      <c r="F49" s="782"/>
      <c r="G49" s="782"/>
      <c r="H49" s="782"/>
      <c r="I49" s="782"/>
      <c r="J49" s="782"/>
      <c r="K49" s="782"/>
      <c r="L49" s="782"/>
      <c r="M49" s="782"/>
      <c r="N49" s="129">
        <f>ROUND(N36+N42+N48,2)</f>
        <v>1.83</v>
      </c>
      <c r="O49" s="132"/>
    </row>
    <row r="50" spans="2:22" ht="26.25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5"/>
      <c r="O50" s="105"/>
    </row>
    <row r="51" spans="2:22" ht="26.25" customHeight="1" thickBot="1">
      <c r="B51" s="32" t="s">
        <v>268</v>
      </c>
      <c r="C51" s="63" t="str">
        <f>B6</f>
        <v>C사</v>
      </c>
      <c r="D51" s="67"/>
      <c r="E51" s="33"/>
      <c r="F51" s="33"/>
      <c r="G51" s="33"/>
      <c r="H51" s="58"/>
      <c r="I51" s="68"/>
      <c r="J51" s="68"/>
      <c r="K51" s="68"/>
      <c r="L51" s="44"/>
    </row>
    <row r="52" spans="2:22" s="107" customFormat="1" ht="37.5" customHeight="1">
      <c r="B52" s="747" t="s">
        <v>59</v>
      </c>
      <c r="C52" s="749" t="s">
        <v>219</v>
      </c>
      <c r="D52" s="760" t="s">
        <v>220</v>
      </c>
      <c r="E52" s="760" t="s">
        <v>221</v>
      </c>
      <c r="F52" s="760" t="s">
        <v>293</v>
      </c>
      <c r="G52" s="749" t="s">
        <v>222</v>
      </c>
      <c r="H52" s="771" t="s">
        <v>298</v>
      </c>
      <c r="I52" s="772"/>
      <c r="J52" s="772"/>
      <c r="K52" s="772"/>
      <c r="L52" s="772"/>
      <c r="M52" s="764"/>
      <c r="N52" s="749" t="s">
        <v>43</v>
      </c>
      <c r="O52" s="753" t="s">
        <v>13</v>
      </c>
      <c r="Q52" s="751"/>
      <c r="R52" s="752"/>
    </row>
    <row r="53" spans="2:22" ht="26.25" customHeight="1" thickBot="1">
      <c r="B53" s="748"/>
      <c r="C53" s="750"/>
      <c r="D53" s="762"/>
      <c r="E53" s="762"/>
      <c r="F53" s="762"/>
      <c r="G53" s="762"/>
      <c r="H53" s="773"/>
      <c r="I53" s="774"/>
      <c r="J53" s="774"/>
      <c r="K53" s="774"/>
      <c r="L53" s="774"/>
      <c r="M53" s="775"/>
      <c r="N53" s="750"/>
      <c r="O53" s="754"/>
      <c r="Q53" s="88"/>
      <c r="R53" s="88"/>
    </row>
    <row r="54" spans="2:22" ht="26.25" customHeight="1">
      <c r="B54" s="755" t="s">
        <v>296</v>
      </c>
      <c r="C54" s="96">
        <v>1</v>
      </c>
      <c r="D54" s="346">
        <v>0</v>
      </c>
      <c r="E54" s="347" t="s">
        <v>224</v>
      </c>
      <c r="F54" s="347" t="s">
        <v>299</v>
      </c>
      <c r="G54" s="348">
        <v>1</v>
      </c>
      <c r="H54" s="768" t="s">
        <v>298</v>
      </c>
      <c r="I54" s="769"/>
      <c r="J54" s="769"/>
      <c r="K54" s="769"/>
      <c r="L54" s="769"/>
      <c r="M54" s="770"/>
      <c r="N54" s="130">
        <f>IF(G54=0,"해당없음",IF(G54&gt;0,1/G54))</f>
        <v>1</v>
      </c>
      <c r="O54" s="131"/>
      <c r="Q54" s="145"/>
      <c r="R54" s="145"/>
    </row>
    <row r="55" spans="2:22" ht="26.25" customHeight="1">
      <c r="B55" s="755"/>
      <c r="C55" s="96">
        <v>2</v>
      </c>
      <c r="D55" s="349">
        <v>0</v>
      </c>
      <c r="E55" s="95" t="s">
        <v>224</v>
      </c>
      <c r="F55" s="95" t="s">
        <v>300</v>
      </c>
      <c r="G55" s="350">
        <v>3</v>
      </c>
      <c r="H55" s="768" t="s">
        <v>64</v>
      </c>
      <c r="I55" s="769"/>
      <c r="J55" s="769"/>
      <c r="K55" s="769"/>
      <c r="L55" s="769"/>
      <c r="M55" s="770"/>
      <c r="N55" s="130">
        <f t="shared" ref="N55:N56" si="8">IF(G55=0,"해당없음",IF(G55&gt;0,1/G55))</f>
        <v>0.33333333333333331</v>
      </c>
      <c r="O55" s="131"/>
      <c r="Q55" s="145"/>
      <c r="R55" s="145"/>
      <c r="T55" s="85"/>
      <c r="U55" s="85"/>
      <c r="V55" s="85"/>
    </row>
    <row r="56" spans="2:22" ht="26.25" customHeight="1" thickBot="1">
      <c r="B56" s="755"/>
      <c r="C56" s="96">
        <v>3</v>
      </c>
      <c r="D56" s="351">
        <v>0</v>
      </c>
      <c r="E56" s="352" t="s">
        <v>224</v>
      </c>
      <c r="F56" s="352" t="s">
        <v>301</v>
      </c>
      <c r="G56" s="353">
        <v>2</v>
      </c>
      <c r="H56" s="768" t="s">
        <v>298</v>
      </c>
      <c r="I56" s="769"/>
      <c r="J56" s="769"/>
      <c r="K56" s="769"/>
      <c r="L56" s="769"/>
      <c r="M56" s="770"/>
      <c r="N56" s="130">
        <f t="shared" si="8"/>
        <v>0.5</v>
      </c>
      <c r="O56" s="131"/>
      <c r="Q56" s="145"/>
      <c r="R56" s="145"/>
    </row>
    <row r="57" spans="2:22" ht="26.25" customHeight="1" thickBot="1">
      <c r="B57" s="755"/>
      <c r="C57" s="756" t="s">
        <v>23</v>
      </c>
      <c r="D57" s="758"/>
      <c r="E57" s="758"/>
      <c r="F57" s="758"/>
      <c r="G57" s="758"/>
      <c r="H57" s="758"/>
      <c r="I57" s="758"/>
      <c r="J57" s="758"/>
      <c r="K57" s="758"/>
      <c r="L57" s="758"/>
      <c r="M57" s="759"/>
      <c r="N57" s="137">
        <f>SUM(N54:N56)</f>
        <v>1.8333333333333333</v>
      </c>
      <c r="O57" s="131"/>
    </row>
    <row r="58" spans="2:22" s="107" customFormat="1" ht="37.5" customHeight="1">
      <c r="B58" s="747" t="s">
        <v>59</v>
      </c>
      <c r="C58" s="749" t="s">
        <v>219</v>
      </c>
      <c r="D58" s="760" t="s">
        <v>220</v>
      </c>
      <c r="E58" s="760" t="s">
        <v>221</v>
      </c>
      <c r="F58" s="760" t="s">
        <v>293</v>
      </c>
      <c r="G58" s="749" t="s">
        <v>297</v>
      </c>
      <c r="H58" s="766" t="s">
        <v>302</v>
      </c>
      <c r="I58" s="767"/>
      <c r="J58" s="97" t="s">
        <v>223</v>
      </c>
      <c r="K58" s="766" t="s">
        <v>242</v>
      </c>
      <c r="L58" s="767"/>
      <c r="M58" s="749" t="s">
        <v>226</v>
      </c>
      <c r="N58" s="749" t="s">
        <v>43</v>
      </c>
      <c r="O58" s="753" t="s">
        <v>13</v>
      </c>
      <c r="Q58" s="751" t="s">
        <v>226</v>
      </c>
      <c r="R58" s="752"/>
    </row>
    <row r="59" spans="2:22" ht="26.25" customHeight="1" thickBot="1">
      <c r="B59" s="748"/>
      <c r="C59" s="750"/>
      <c r="D59" s="761"/>
      <c r="E59" s="761"/>
      <c r="F59" s="761"/>
      <c r="G59" s="762"/>
      <c r="H59" s="358" t="s">
        <v>227</v>
      </c>
      <c r="I59" s="358" t="s">
        <v>228</v>
      </c>
      <c r="J59" s="334" t="s">
        <v>229</v>
      </c>
      <c r="K59" s="358" t="s">
        <v>230</v>
      </c>
      <c r="L59" s="358" t="s">
        <v>231</v>
      </c>
      <c r="M59" s="750"/>
      <c r="N59" s="750"/>
      <c r="O59" s="754"/>
      <c r="Q59" s="88" t="s">
        <v>169</v>
      </c>
      <c r="R59" s="88" t="s">
        <v>170</v>
      </c>
    </row>
    <row r="60" spans="2:22" ht="26.25" customHeight="1">
      <c r="B60" s="755" t="s">
        <v>294</v>
      </c>
      <c r="C60" s="335">
        <v>1</v>
      </c>
      <c r="D60" s="346">
        <v>0</v>
      </c>
      <c r="E60" s="347" t="s">
        <v>224</v>
      </c>
      <c r="F60" s="354" t="s">
        <v>299</v>
      </c>
      <c r="G60" s="357" t="s">
        <v>298</v>
      </c>
      <c r="H60" s="359">
        <v>40453</v>
      </c>
      <c r="I60" s="360">
        <v>40544</v>
      </c>
      <c r="J60" s="365">
        <f>ROUND((참여업체현황!$K$2-'라.기술개발 및 투자실적'!I60+1)/365,2)</f>
        <v>9.67</v>
      </c>
      <c r="K60" s="368">
        <v>6</v>
      </c>
      <c r="L60" s="369">
        <v>22</v>
      </c>
      <c r="M60" s="367" t="str">
        <f>IF(Q60&gt;=R60, Q60,R60)</f>
        <v>1</v>
      </c>
      <c r="N60" s="128">
        <f>IF(J60&gt;3,0,0.5*M60)</f>
        <v>0</v>
      </c>
      <c r="O60" s="131"/>
      <c r="Q60" s="144" t="str">
        <f>IF(K60&lt;1, " ", IF(K60&gt;=5,"1", IF(K60&gt;=4, "0.9", IF(K60&gt;=3, "0.8", IF(K60&gt;=2,"0.7", IF(K60&gt;=1,"0.6"))))))</f>
        <v>1</v>
      </c>
      <c r="R60" s="144" t="str">
        <f>IF(L60&lt;12, " ", IF(L60&gt;=20,"1", IF(L60&gt;=18, "0.9", IF(L60&gt;=16, "0.8", IF(L60&gt;=14,"0.7", IF(L60&gt;=12,"0.6"))))))</f>
        <v>1</v>
      </c>
    </row>
    <row r="61" spans="2:22" ht="26.25" customHeight="1">
      <c r="B61" s="755"/>
      <c r="C61" s="335">
        <v>2</v>
      </c>
      <c r="D61" s="349">
        <v>0</v>
      </c>
      <c r="E61" s="95" t="s">
        <v>224</v>
      </c>
      <c r="F61" s="355" t="s">
        <v>300</v>
      </c>
      <c r="G61" s="357" t="s">
        <v>298</v>
      </c>
      <c r="H61" s="361">
        <v>40453</v>
      </c>
      <c r="I61" s="362">
        <v>41913</v>
      </c>
      <c r="J61" s="366">
        <f>ROUND((참여업체현황!$K$2-'라.기술개발 및 투자실적'!I61+1)/365,2)</f>
        <v>5.92</v>
      </c>
      <c r="K61" s="370">
        <v>2</v>
      </c>
      <c r="L61" s="371">
        <v>17</v>
      </c>
      <c r="M61" s="367" t="str">
        <f>IF(Q61&gt;=R61, Q61,R61)</f>
        <v>0.8</v>
      </c>
      <c r="N61" s="128">
        <f>IF(J61&gt;3,0,0.5*M61)</f>
        <v>0</v>
      </c>
      <c r="O61" s="131"/>
      <c r="Q61" s="144" t="str">
        <f>IF(K61&lt;1, " ", IF(K61&gt;=5,"1", IF(K61&gt;=4, "0.9", IF(K61&gt;=3, "0.8", IF(K61&gt;=2,"0.7", IF(K61&gt;=1,"0.6"))))))</f>
        <v>0.7</v>
      </c>
      <c r="R61" s="144" t="str">
        <f>IF(L61&lt;12, " ", IF(L61&gt;=20,"1", IF(L61&gt;=18, "0.9", IF(L61&gt;=16, "0.8", IF(L61&gt;=14,"0.7", IF(L61&gt;=12,"0.6"))))))</f>
        <v>0.8</v>
      </c>
    </row>
    <row r="62" spans="2:22" ht="26.25" customHeight="1" thickBot="1">
      <c r="B62" s="755"/>
      <c r="C62" s="335">
        <v>3</v>
      </c>
      <c r="D62" s="351">
        <v>0</v>
      </c>
      <c r="E62" s="352" t="s">
        <v>224</v>
      </c>
      <c r="F62" s="356" t="s">
        <v>301</v>
      </c>
      <c r="G62" s="357" t="s">
        <v>298</v>
      </c>
      <c r="H62" s="363">
        <v>40453</v>
      </c>
      <c r="I62" s="364">
        <v>41913</v>
      </c>
      <c r="J62" s="366">
        <f>ROUND((참여업체현황!$K$2-'라.기술개발 및 투자실적'!I62+1)/365,2)</f>
        <v>5.92</v>
      </c>
      <c r="K62" s="372">
        <v>1</v>
      </c>
      <c r="L62" s="373">
        <v>13</v>
      </c>
      <c r="M62" s="367" t="str">
        <f>IF(Q62&gt;=R62, Q62,R62)</f>
        <v>0.6</v>
      </c>
      <c r="N62" s="128">
        <f>IF(J62&gt;3,0,0.5*M62)</f>
        <v>0</v>
      </c>
      <c r="O62" s="131"/>
      <c r="Q62" s="144" t="str">
        <f>IF(K62&lt;1, " ", IF(K62&gt;=5,"1", IF(K62&gt;=4, "0.9", IF(K62&gt;=3, "0.8", IF(K62&gt;=2,"0.7", IF(K62&gt;=1,"0.6"))))))</f>
        <v>0.6</v>
      </c>
      <c r="R62" s="144" t="str">
        <f>IF(L62&lt;12, " ", IF(L62&gt;=20,"1", IF(L62&gt;=18, "0.9", IF(L62&gt;=16, "0.8", IF(L62&gt;=14,"0.7", IF(L62&gt;=12,"0.6"))))))</f>
        <v>0.6</v>
      </c>
    </row>
    <row r="63" spans="2:22" ht="26.25" customHeight="1" thickBot="1">
      <c r="B63" s="755"/>
      <c r="C63" s="756" t="s">
        <v>23</v>
      </c>
      <c r="D63" s="757"/>
      <c r="E63" s="757"/>
      <c r="F63" s="757"/>
      <c r="G63" s="758"/>
      <c r="H63" s="757"/>
      <c r="I63" s="757"/>
      <c r="J63" s="758"/>
      <c r="K63" s="757"/>
      <c r="L63" s="757"/>
      <c r="M63" s="759"/>
      <c r="N63" s="137">
        <f>SUM(N60:N62)</f>
        <v>0</v>
      </c>
      <c r="O63" s="131"/>
    </row>
    <row r="64" spans="2:22" s="107" customFormat="1" ht="37.5" customHeight="1">
      <c r="B64" s="747" t="s">
        <v>59</v>
      </c>
      <c r="C64" s="749" t="s">
        <v>219</v>
      </c>
      <c r="D64" s="760" t="s">
        <v>220</v>
      </c>
      <c r="E64" s="760" t="s">
        <v>221</v>
      </c>
      <c r="F64" s="760" t="s">
        <v>293</v>
      </c>
      <c r="G64" s="749" t="s">
        <v>297</v>
      </c>
      <c r="H64" s="749" t="s">
        <v>303</v>
      </c>
      <c r="I64" s="764" t="s">
        <v>308</v>
      </c>
      <c r="J64" s="97" t="s">
        <v>307</v>
      </c>
      <c r="K64" s="766" t="s">
        <v>242</v>
      </c>
      <c r="L64" s="767"/>
      <c r="M64" s="749" t="s">
        <v>306</v>
      </c>
      <c r="N64" s="749" t="s">
        <v>43</v>
      </c>
      <c r="O64" s="753" t="s">
        <v>13</v>
      </c>
      <c r="Q64" s="751" t="s">
        <v>304</v>
      </c>
      <c r="R64" s="752"/>
      <c r="S64" s="344" t="s">
        <v>305</v>
      </c>
      <c r="T64" s="344" t="s">
        <v>304</v>
      </c>
    </row>
    <row r="65" spans="2:20" ht="26.25" customHeight="1" thickBot="1">
      <c r="B65" s="748"/>
      <c r="C65" s="750"/>
      <c r="D65" s="761"/>
      <c r="E65" s="761"/>
      <c r="F65" s="761"/>
      <c r="G65" s="762"/>
      <c r="H65" s="763"/>
      <c r="I65" s="765"/>
      <c r="J65" s="334" t="s">
        <v>229</v>
      </c>
      <c r="K65" s="358" t="s">
        <v>230</v>
      </c>
      <c r="L65" s="358" t="s">
        <v>231</v>
      </c>
      <c r="M65" s="750"/>
      <c r="N65" s="750"/>
      <c r="O65" s="754"/>
      <c r="Q65" s="88" t="s">
        <v>169</v>
      </c>
      <c r="R65" s="88" t="s">
        <v>170</v>
      </c>
      <c r="S65" s="88" t="s">
        <v>169</v>
      </c>
      <c r="T65" s="88" t="s">
        <v>169</v>
      </c>
    </row>
    <row r="66" spans="2:20" ht="26.25" customHeight="1">
      <c r="B66" s="755" t="s">
        <v>295</v>
      </c>
      <c r="C66" s="335">
        <v>1</v>
      </c>
      <c r="D66" s="346">
        <v>0</v>
      </c>
      <c r="E66" s="347" t="s">
        <v>224</v>
      </c>
      <c r="F66" s="354" t="s">
        <v>299</v>
      </c>
      <c r="G66" s="357" t="s">
        <v>298</v>
      </c>
      <c r="H66" s="359">
        <v>42055</v>
      </c>
      <c r="I66" s="360">
        <v>40453</v>
      </c>
      <c r="J66" s="366">
        <f>ROUND((참여업체현황!$K$2-I66)/365,2)</f>
        <v>9.92</v>
      </c>
      <c r="K66" s="368">
        <v>6</v>
      </c>
      <c r="L66" s="369">
        <v>22</v>
      </c>
      <c r="M66" s="374">
        <f>S66*T66</f>
        <v>0.8</v>
      </c>
      <c r="N66" s="128">
        <f>IF(('라.기술개발 및 투자실적'!H66-참여업체현황!$K$2)&lt;0,0,0.3*M66)</f>
        <v>0</v>
      </c>
      <c r="O66" s="131"/>
      <c r="Q66" s="144" t="str">
        <f>IF(K66&lt;1, " ", IF(K66&gt;=5,"1", IF(K66&gt;=4, "0.9", IF(K66&gt;=3, "0.8", IF(K66&gt;=2,"0.7", IF(K66&gt;=1,"0.6"))))))</f>
        <v>1</v>
      </c>
      <c r="R66" s="144" t="str">
        <f>IF(L66&lt;12, " ", IF(L66&gt;=20,"1", IF(L66&gt;=18, "0.9", IF(L66&gt;=16, "0.8", IF(L66&gt;=14,"0.7", IF(L66&gt;=12,"0.6"))))))</f>
        <v>1</v>
      </c>
      <c r="S66" s="144" t="str">
        <f>IF(Q66&gt;=R66, Q66,R66)</f>
        <v>1</v>
      </c>
      <c r="T66" s="144">
        <f>IF(J66&gt;=20,0,IF(J66&gt;=10,0.6,IF(J66&gt;=5,0.8,IF(J66&lt;5,1))))</f>
        <v>0.8</v>
      </c>
    </row>
    <row r="67" spans="2:20" ht="26.25" customHeight="1">
      <c r="B67" s="755"/>
      <c r="C67" s="335">
        <v>2</v>
      </c>
      <c r="D67" s="349">
        <v>0</v>
      </c>
      <c r="E67" s="95" t="s">
        <v>224</v>
      </c>
      <c r="F67" s="355" t="s">
        <v>300</v>
      </c>
      <c r="G67" s="357" t="s">
        <v>298</v>
      </c>
      <c r="H67" s="361">
        <v>43120</v>
      </c>
      <c r="I67" s="362">
        <v>40453</v>
      </c>
      <c r="J67" s="366">
        <f>ROUND((참여업체현황!$K$2-I67)/365,2)</f>
        <v>9.92</v>
      </c>
      <c r="K67" s="370">
        <v>2</v>
      </c>
      <c r="L67" s="371">
        <v>17</v>
      </c>
      <c r="M67" s="374">
        <f t="shared" ref="M67:M68" si="9">S67*T67</f>
        <v>0.64000000000000012</v>
      </c>
      <c r="N67" s="128">
        <f>IF(('라.기술개발 및 투자실적'!H67-참여업체현황!$K$2)&lt;0,0,0.3*M67)</f>
        <v>0</v>
      </c>
      <c r="O67" s="131"/>
      <c r="Q67" s="144" t="str">
        <f>IF(K67&lt;1, " ", IF(K67&gt;=5,"1", IF(K67&gt;=4, "0.9", IF(K67&gt;=3, "0.8", IF(K67&gt;=2,"0.7", IF(K67&gt;=1,"0.6"))))))</f>
        <v>0.7</v>
      </c>
      <c r="R67" s="144" t="str">
        <f>IF(L67&lt;12, " ", IF(L67&gt;=20,"1", IF(L67&gt;=18, "0.9", IF(L67&gt;=16, "0.8", IF(L67&gt;=14,"0.7", IF(L67&gt;=12,"0.6"))))))</f>
        <v>0.8</v>
      </c>
      <c r="S67" s="144" t="str">
        <f t="shared" ref="S67:S68" si="10">IF(Q67&gt;=R67, Q67,R67)</f>
        <v>0.8</v>
      </c>
      <c r="T67" s="144">
        <f t="shared" ref="T67:T68" si="11">IF(J67&gt;=20,0,IF(J67&gt;=10,0.6,IF(J67&gt;=5,0.8,IF(J67&lt;5,1))))</f>
        <v>0.8</v>
      </c>
    </row>
    <row r="68" spans="2:20" ht="26.25" customHeight="1" thickBot="1">
      <c r="B68" s="755"/>
      <c r="C68" s="335">
        <v>3</v>
      </c>
      <c r="D68" s="351">
        <v>0</v>
      </c>
      <c r="E68" s="352" t="s">
        <v>224</v>
      </c>
      <c r="F68" s="356" t="s">
        <v>301</v>
      </c>
      <c r="G68" s="357" t="s">
        <v>298</v>
      </c>
      <c r="H68" s="363">
        <v>41942</v>
      </c>
      <c r="I68" s="364">
        <v>40453</v>
      </c>
      <c r="J68" s="366">
        <f>ROUND((참여업체현황!$K$2-I68)/365,2)</f>
        <v>9.92</v>
      </c>
      <c r="K68" s="372">
        <v>1</v>
      </c>
      <c r="L68" s="373">
        <v>13</v>
      </c>
      <c r="M68" s="374">
        <f t="shared" si="9"/>
        <v>0.48</v>
      </c>
      <c r="N68" s="128">
        <f>IF(('라.기술개발 및 투자실적'!H68-참여업체현황!$K$2)&lt;0,0,0.3*M68)</f>
        <v>0</v>
      </c>
      <c r="O68" s="131"/>
      <c r="Q68" s="144" t="str">
        <f>IF(K68&lt;1, " ", IF(K68&gt;=5,"1", IF(K68&gt;=4, "0.9", IF(K68&gt;=3, "0.8", IF(K68&gt;=2,"0.7", IF(K68&gt;=1,"0.6"))))))</f>
        <v>0.6</v>
      </c>
      <c r="R68" s="144" t="str">
        <f>IF(L68&lt;12, " ", IF(L68&gt;=20,"1", IF(L68&gt;=18, "0.9", IF(L68&gt;=16, "0.8", IF(L68&gt;=14,"0.7", IF(L68&gt;=12,"0.6"))))))</f>
        <v>0.6</v>
      </c>
      <c r="S68" s="144" t="str">
        <f t="shared" si="10"/>
        <v>0.6</v>
      </c>
      <c r="T68" s="144">
        <f t="shared" si="11"/>
        <v>0.8</v>
      </c>
    </row>
    <row r="69" spans="2:20" ht="26.25" customHeight="1">
      <c r="B69" s="755"/>
      <c r="C69" s="756" t="s">
        <v>23</v>
      </c>
      <c r="D69" s="757"/>
      <c r="E69" s="757"/>
      <c r="F69" s="757"/>
      <c r="G69" s="758"/>
      <c r="H69" s="757"/>
      <c r="I69" s="757"/>
      <c r="J69" s="758"/>
      <c r="K69" s="757"/>
      <c r="L69" s="757"/>
      <c r="M69" s="759"/>
      <c r="N69" s="137">
        <f>SUM(N66:N68)</f>
        <v>0</v>
      </c>
      <c r="O69" s="131"/>
    </row>
    <row r="70" spans="2:20" ht="26.25" customHeight="1" thickBot="1">
      <c r="B70" s="781" t="s">
        <v>4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129">
        <f>ROUND(N57+N63+N69,2)</f>
        <v>1.83</v>
      </c>
      <c r="O70" s="132"/>
    </row>
    <row r="71" spans="2:20" ht="26.25" customHeight="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5"/>
      <c r="O71" s="105"/>
    </row>
    <row r="72" spans="2:20" ht="26.25" customHeight="1"/>
    <row r="73" spans="2:20" ht="26.25" customHeight="1" thickBot="1">
      <c r="B73" s="64" t="s">
        <v>182</v>
      </c>
      <c r="C73" s="65"/>
      <c r="D73" s="65"/>
      <c r="E73" s="65"/>
      <c r="F73" s="330"/>
      <c r="G73" s="65"/>
      <c r="H73" s="65"/>
      <c r="I73" s="65"/>
      <c r="J73" s="65"/>
      <c r="K73" s="65"/>
      <c r="L73" s="65"/>
      <c r="N73" s="3" t="s">
        <v>183</v>
      </c>
      <c r="O73" s="3" t="s">
        <v>184</v>
      </c>
    </row>
    <row r="74" spans="2:20" ht="26.25" customHeight="1">
      <c r="B74" s="576" t="s">
        <v>213</v>
      </c>
      <c r="C74" s="573"/>
      <c r="D74" s="573" t="s">
        <v>214</v>
      </c>
      <c r="E74" s="573"/>
      <c r="F74" s="327"/>
      <c r="G74" s="570" t="s">
        <v>232</v>
      </c>
      <c r="H74" s="570"/>
      <c r="I74" s="573" t="s">
        <v>233</v>
      </c>
      <c r="J74" s="573"/>
      <c r="K74" s="573" t="s">
        <v>234</v>
      </c>
      <c r="L74" s="573"/>
      <c r="M74" s="570" t="s">
        <v>235</v>
      </c>
      <c r="N74" s="570"/>
      <c r="O74" s="586" t="s">
        <v>216</v>
      </c>
    </row>
    <row r="75" spans="2:20" ht="26.25" customHeight="1" thickBot="1">
      <c r="B75" s="578"/>
      <c r="C75" s="575"/>
      <c r="D75" s="575"/>
      <c r="E75" s="575"/>
      <c r="F75" s="328"/>
      <c r="G75" s="329" t="s">
        <v>236</v>
      </c>
      <c r="H75" s="328" t="s">
        <v>237</v>
      </c>
      <c r="I75" s="328" t="s">
        <v>238</v>
      </c>
      <c r="J75" s="328" t="s">
        <v>239</v>
      </c>
      <c r="K75" s="328" t="s">
        <v>240</v>
      </c>
      <c r="L75" s="328" t="s">
        <v>241</v>
      </c>
      <c r="M75" s="572"/>
      <c r="N75" s="572"/>
      <c r="O75" s="587"/>
    </row>
    <row r="76" spans="2:20" ht="26.25" customHeight="1">
      <c r="B76" s="777" t="str">
        <f>B4</f>
        <v>A사</v>
      </c>
      <c r="C76" s="608"/>
      <c r="D76" s="780">
        <f>E4</f>
        <v>0.6</v>
      </c>
      <c r="E76" s="622"/>
      <c r="F76" s="341"/>
      <c r="G76" s="284">
        <v>2</v>
      </c>
      <c r="H76" s="332">
        <v>200</v>
      </c>
      <c r="I76" s="332">
        <v>3</v>
      </c>
      <c r="J76" s="332">
        <v>100</v>
      </c>
      <c r="K76" s="332">
        <v>7</v>
      </c>
      <c r="L76" s="285">
        <v>300</v>
      </c>
      <c r="M76" s="779">
        <f>(G76+I76+K76)/(H76+J76+L76)</f>
        <v>0.02</v>
      </c>
      <c r="N76" s="608"/>
      <c r="O76" s="134">
        <f>D76*M76</f>
        <v>1.2E-2</v>
      </c>
    </row>
    <row r="77" spans="2:20" ht="26.25" customHeight="1">
      <c r="B77" s="777" t="str">
        <f t="shared" ref="B77:B78" si="12">B5</f>
        <v>B사</v>
      </c>
      <c r="C77" s="608"/>
      <c r="D77" s="780">
        <f t="shared" ref="D77:D78" si="13">E5</f>
        <v>0.3</v>
      </c>
      <c r="E77" s="622"/>
      <c r="F77" s="162"/>
      <c r="G77" s="286">
        <v>3</v>
      </c>
      <c r="H77" s="331">
        <v>300</v>
      </c>
      <c r="I77" s="331">
        <v>4</v>
      </c>
      <c r="J77" s="331">
        <v>200</v>
      </c>
      <c r="K77" s="331">
        <v>8</v>
      </c>
      <c r="L77" s="287">
        <v>400</v>
      </c>
      <c r="M77" s="779">
        <f>(G77+I77+K77)/(H77+J77+L77)</f>
        <v>1.6666666666666666E-2</v>
      </c>
      <c r="N77" s="608"/>
      <c r="O77" s="134">
        <f>D77*M77</f>
        <v>5.0000000000000001E-3</v>
      </c>
    </row>
    <row r="78" spans="2:20" ht="26.25" customHeight="1" thickBot="1">
      <c r="B78" s="777" t="str">
        <f t="shared" si="12"/>
        <v>C사</v>
      </c>
      <c r="C78" s="608"/>
      <c r="D78" s="780">
        <f t="shared" si="13"/>
        <v>0.1</v>
      </c>
      <c r="E78" s="622"/>
      <c r="F78" s="342"/>
      <c r="G78" s="288">
        <v>4</v>
      </c>
      <c r="H78" s="333">
        <v>400</v>
      </c>
      <c r="I78" s="333">
        <v>5</v>
      </c>
      <c r="J78" s="333">
        <v>300</v>
      </c>
      <c r="K78" s="333">
        <v>9</v>
      </c>
      <c r="L78" s="289">
        <v>500</v>
      </c>
      <c r="M78" s="779">
        <f>(G78+I78+K78)/(H78+J78+L78)</f>
        <v>1.4999999999999999E-2</v>
      </c>
      <c r="N78" s="608"/>
      <c r="O78" s="134">
        <f>D78*M78</f>
        <v>1.5E-3</v>
      </c>
    </row>
    <row r="79" spans="2:20" ht="26.25" customHeight="1">
      <c r="B79" s="778" t="s">
        <v>274</v>
      </c>
      <c r="C79" s="776"/>
      <c r="D79" s="291"/>
      <c r="E79" s="291"/>
      <c r="F79" s="343"/>
      <c r="G79" s="292"/>
      <c r="H79" s="293"/>
      <c r="I79" s="232"/>
      <c r="J79" s="232"/>
      <c r="K79" s="232"/>
      <c r="L79" s="232"/>
      <c r="M79" s="776"/>
      <c r="N79" s="776"/>
      <c r="O79" s="294">
        <f>ROUND(SUM(O76:O78),4)</f>
        <v>1.8499999999999999E-2</v>
      </c>
    </row>
    <row r="80" spans="2:20" ht="26.25" customHeight="1" thickBot="1">
      <c r="B80" s="783" t="s">
        <v>285</v>
      </c>
      <c r="C80" s="784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345" t="str">
        <f>IF(O79&gt;=3%,"7",IF(O79&gt;=2.5%,"6.8", IF(O79&gt;=2%,"6.6", IF(O79&gt;=1.5%,"6.4", IF(O79&gt;=1%,"6.2","6")))))</f>
        <v>6.4</v>
      </c>
    </row>
  </sheetData>
  <mergeCells count="164">
    <mergeCell ref="B1:L1"/>
    <mergeCell ref="B12:B15"/>
    <mergeCell ref="B24:B27"/>
    <mergeCell ref="Q10:R10"/>
    <mergeCell ref="Q31:R31"/>
    <mergeCell ref="O10:O11"/>
    <mergeCell ref="N31:N32"/>
    <mergeCell ref="O31:O32"/>
    <mergeCell ref="B3:D3"/>
    <mergeCell ref="E3:G3"/>
    <mergeCell ref="B4:D4"/>
    <mergeCell ref="B5:D5"/>
    <mergeCell ref="B6:D6"/>
    <mergeCell ref="E4:G4"/>
    <mergeCell ref="E5:G5"/>
    <mergeCell ref="F31:F32"/>
    <mergeCell ref="H31:M32"/>
    <mergeCell ref="E6:G6"/>
    <mergeCell ref="B7:G7"/>
    <mergeCell ref="N10:N11"/>
    <mergeCell ref="B31:B32"/>
    <mergeCell ref="F10:F11"/>
    <mergeCell ref="B18:B21"/>
    <mergeCell ref="C21:M21"/>
    <mergeCell ref="B80:C80"/>
    <mergeCell ref="G31:G32"/>
    <mergeCell ref="B10:B11"/>
    <mergeCell ref="C10:C11"/>
    <mergeCell ref="D10:D11"/>
    <mergeCell ref="E10:E11"/>
    <mergeCell ref="G10:G11"/>
    <mergeCell ref="B28:M28"/>
    <mergeCell ref="C15:M15"/>
    <mergeCell ref="C27:M27"/>
    <mergeCell ref="B66:B69"/>
    <mergeCell ref="C69:M69"/>
    <mergeCell ref="B70:M70"/>
    <mergeCell ref="E31:E32"/>
    <mergeCell ref="B52:B53"/>
    <mergeCell ref="C52:C53"/>
    <mergeCell ref="B33:B36"/>
    <mergeCell ref="C36:M36"/>
    <mergeCell ref="D52:D53"/>
    <mergeCell ref="E52:E53"/>
    <mergeCell ref="H33:M33"/>
    <mergeCell ref="H34:M34"/>
    <mergeCell ref="B16:B17"/>
    <mergeCell ref="C16:C17"/>
    <mergeCell ref="N58:N59"/>
    <mergeCell ref="C57:M57"/>
    <mergeCell ref="H58:I58"/>
    <mergeCell ref="K58:L58"/>
    <mergeCell ref="G58:G59"/>
    <mergeCell ref="G52:G53"/>
    <mergeCell ref="O74:O75"/>
    <mergeCell ref="D74:E75"/>
    <mergeCell ref="D76:E76"/>
    <mergeCell ref="G74:H74"/>
    <mergeCell ref="I74:J74"/>
    <mergeCell ref="K74:L74"/>
    <mergeCell ref="N52:N53"/>
    <mergeCell ref="O52:O53"/>
    <mergeCell ref="D58:D59"/>
    <mergeCell ref="E58:E59"/>
    <mergeCell ref="F58:F59"/>
    <mergeCell ref="F52:F53"/>
    <mergeCell ref="H52:M53"/>
    <mergeCell ref="H54:M54"/>
    <mergeCell ref="H55:M55"/>
    <mergeCell ref="H56:M56"/>
    <mergeCell ref="M58:M59"/>
    <mergeCell ref="D16:D17"/>
    <mergeCell ref="E16:E17"/>
    <mergeCell ref="F16:F17"/>
    <mergeCell ref="G16:G17"/>
    <mergeCell ref="H16:I16"/>
    <mergeCell ref="C31:C32"/>
    <mergeCell ref="D31:D32"/>
    <mergeCell ref="M79:N79"/>
    <mergeCell ref="B74:C75"/>
    <mergeCell ref="B76:C76"/>
    <mergeCell ref="B77:C77"/>
    <mergeCell ref="B78:C78"/>
    <mergeCell ref="B79:C79"/>
    <mergeCell ref="M74:N75"/>
    <mergeCell ref="M76:N76"/>
    <mergeCell ref="M77:N77"/>
    <mergeCell ref="M78:N78"/>
    <mergeCell ref="D77:E77"/>
    <mergeCell ref="D78:E78"/>
    <mergeCell ref="B45:B48"/>
    <mergeCell ref="C48:M48"/>
    <mergeCell ref="B49:M49"/>
    <mergeCell ref="B43:B44"/>
    <mergeCell ref="C43:C44"/>
    <mergeCell ref="H10:M11"/>
    <mergeCell ref="H12:M12"/>
    <mergeCell ref="H13:M13"/>
    <mergeCell ref="H14:M14"/>
    <mergeCell ref="K16:L16"/>
    <mergeCell ref="M16:M17"/>
    <mergeCell ref="N16:N17"/>
    <mergeCell ref="O16:O17"/>
    <mergeCell ref="Q16:R16"/>
    <mergeCell ref="O22:O23"/>
    <mergeCell ref="Q22:R22"/>
    <mergeCell ref="H22:H23"/>
    <mergeCell ref="I22:I23"/>
    <mergeCell ref="G22:G23"/>
    <mergeCell ref="K22:L22"/>
    <mergeCell ref="M22:M23"/>
    <mergeCell ref="N22:N23"/>
    <mergeCell ref="B22:B23"/>
    <mergeCell ref="C22:C23"/>
    <mergeCell ref="D22:D23"/>
    <mergeCell ref="E22:E23"/>
    <mergeCell ref="F22:F23"/>
    <mergeCell ref="H35:M35"/>
    <mergeCell ref="B37:B38"/>
    <mergeCell ref="C37:C38"/>
    <mergeCell ref="D37:D38"/>
    <mergeCell ref="E37:E38"/>
    <mergeCell ref="F37:F38"/>
    <mergeCell ref="G37:G38"/>
    <mergeCell ref="H37:I37"/>
    <mergeCell ref="K37:L37"/>
    <mergeCell ref="M37:M38"/>
    <mergeCell ref="E43:E44"/>
    <mergeCell ref="F43:F44"/>
    <mergeCell ref="G43:G44"/>
    <mergeCell ref="H43:H44"/>
    <mergeCell ref="I43:I44"/>
    <mergeCell ref="K43:L43"/>
    <mergeCell ref="M43:M44"/>
    <mergeCell ref="B54:B57"/>
    <mergeCell ref="Q37:R37"/>
    <mergeCell ref="B39:B42"/>
    <mergeCell ref="C42:M42"/>
    <mergeCell ref="N37:N38"/>
    <mergeCell ref="O37:O38"/>
    <mergeCell ref="B58:B59"/>
    <mergeCell ref="C58:C59"/>
    <mergeCell ref="Q43:R43"/>
    <mergeCell ref="N43:N44"/>
    <mergeCell ref="O43:O44"/>
    <mergeCell ref="Q52:R52"/>
    <mergeCell ref="Q64:R64"/>
    <mergeCell ref="O58:O59"/>
    <mergeCell ref="Q58:R58"/>
    <mergeCell ref="B60:B63"/>
    <mergeCell ref="C63:M63"/>
    <mergeCell ref="B64:B65"/>
    <mergeCell ref="C64:C65"/>
    <mergeCell ref="D64:D65"/>
    <mergeCell ref="E64:E65"/>
    <mergeCell ref="F64:F65"/>
    <mergeCell ref="G64:G65"/>
    <mergeCell ref="H64:H65"/>
    <mergeCell ref="I64:I65"/>
    <mergeCell ref="K64:L64"/>
    <mergeCell ref="M64:M65"/>
    <mergeCell ref="N64:N65"/>
    <mergeCell ref="O64:O65"/>
    <mergeCell ref="D43:D44"/>
  </mergeCells>
  <phoneticPr fontId="8" type="noConversion"/>
  <printOptions horizontalCentered="1"/>
  <pageMargins left="0.59055118110236227" right="0.59055118110236227" top="0.78740157480314965" bottom="0.78740157480314965" header="0.19685039370078741" footer="0.19685039370078741"/>
  <pageSetup paperSize="9" scale="81" orientation="landscape" r:id="rId1"/>
  <rowBreaks count="4" manualBreakCount="4">
    <brk id="8" max="14" man="1"/>
    <brk id="29" max="14" man="1"/>
    <brk id="50" max="14" man="1"/>
    <brk id="71" max="14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view="pageBreakPreview" zoomScaleSheetLayoutView="100" workbookViewId="0">
      <selection activeCell="O12" sqref="O12"/>
    </sheetView>
  </sheetViews>
  <sheetFormatPr defaultColWidth="9" defaultRowHeight="16.5"/>
  <cols>
    <col min="1" max="1" width="1.25" style="3" customWidth="1"/>
    <col min="2" max="2" width="25.375" style="3" customWidth="1"/>
    <col min="3" max="10" width="12.75" style="3" customWidth="1"/>
    <col min="11" max="11" width="1.25" style="3" customWidth="1"/>
    <col min="12" max="16384" width="9" style="3"/>
  </cols>
  <sheetData>
    <row r="1" spans="2:11" ht="22.5" customHeight="1">
      <c r="B1" s="787" t="s">
        <v>382</v>
      </c>
      <c r="C1" s="787"/>
      <c r="D1" s="569"/>
      <c r="E1" s="569"/>
      <c r="F1" s="569"/>
      <c r="G1" s="569"/>
      <c r="H1" s="569"/>
      <c r="I1" s="569"/>
      <c r="J1" s="569"/>
      <c r="K1" s="569"/>
    </row>
    <row r="2" spans="2:11" ht="22.5" customHeight="1">
      <c r="B2" s="117"/>
      <c r="C2" s="117"/>
      <c r="D2" s="69"/>
      <c r="E2" s="69"/>
      <c r="F2" s="69"/>
      <c r="G2" s="69"/>
      <c r="H2" s="69"/>
      <c r="I2" s="69"/>
      <c r="J2" s="69"/>
      <c r="K2" s="69"/>
    </row>
    <row r="3" spans="2:11" ht="22.5" customHeight="1" thickBot="1">
      <c r="B3" s="64" t="s">
        <v>369</v>
      </c>
      <c r="C3" s="64"/>
      <c r="D3" s="65"/>
      <c r="E3" s="65"/>
      <c r="F3" s="65"/>
      <c r="G3" s="65"/>
      <c r="H3" s="65"/>
      <c r="I3" s="65"/>
      <c r="J3" s="65"/>
      <c r="K3" s="65"/>
    </row>
    <row r="4" spans="2:11" ht="22.5" customHeight="1">
      <c r="B4" s="576" t="s">
        <v>243</v>
      </c>
      <c r="C4" s="570" t="s">
        <v>549</v>
      </c>
      <c r="D4" s="570"/>
      <c r="E4" s="570"/>
      <c r="F4" s="573" t="s">
        <v>244</v>
      </c>
      <c r="G4" s="573"/>
      <c r="H4" s="573"/>
      <c r="I4" s="573"/>
      <c r="J4" s="627" t="s">
        <v>245</v>
      </c>
      <c r="K4" s="65"/>
    </row>
    <row r="5" spans="2:11" ht="22.5" customHeight="1">
      <c r="B5" s="578"/>
      <c r="C5" s="789" t="s">
        <v>550</v>
      </c>
      <c r="D5" s="790"/>
      <c r="E5" s="575" t="s">
        <v>3</v>
      </c>
      <c r="F5" s="572" t="s">
        <v>551</v>
      </c>
      <c r="G5" s="575" t="s">
        <v>541</v>
      </c>
      <c r="H5" s="575"/>
      <c r="I5" s="81"/>
      <c r="J5" s="788"/>
      <c r="K5" s="65"/>
    </row>
    <row r="6" spans="2:11" ht="22.5" customHeight="1" thickBot="1">
      <c r="B6" s="578"/>
      <c r="C6" s="791"/>
      <c r="D6" s="792"/>
      <c r="E6" s="575"/>
      <c r="F6" s="648"/>
      <c r="G6" s="157"/>
      <c r="H6" s="81" t="s">
        <v>246</v>
      </c>
      <c r="I6" s="81" t="s">
        <v>3</v>
      </c>
      <c r="J6" s="587"/>
      <c r="K6" s="65"/>
    </row>
    <row r="7" spans="2:11" ht="22.5" customHeight="1">
      <c r="B7" s="161" t="str">
        <f>참여업체현황!B6</f>
        <v>A사</v>
      </c>
      <c r="C7" s="667">
        <v>264</v>
      </c>
      <c r="D7" s="793"/>
      <c r="E7" s="162">
        <f>C7</f>
        <v>264</v>
      </c>
      <c r="F7" s="323">
        <v>1</v>
      </c>
      <c r="G7" s="296">
        <v>0</v>
      </c>
      <c r="H7" s="160">
        <f>G7/5</f>
        <v>0</v>
      </c>
      <c r="I7" s="84">
        <f>F7+H7</f>
        <v>1</v>
      </c>
      <c r="J7" s="134">
        <f>I7/E7</f>
        <v>3.787878787878788E-3</v>
      </c>
      <c r="K7" s="65"/>
    </row>
    <row r="8" spans="2:11" ht="22.5" customHeight="1">
      <c r="B8" s="161" t="str">
        <f>참여업체현황!B7</f>
        <v>B사</v>
      </c>
      <c r="C8" s="669">
        <v>110</v>
      </c>
      <c r="D8" s="794"/>
      <c r="E8" s="162">
        <f>C8</f>
        <v>110</v>
      </c>
      <c r="F8" s="321">
        <v>2</v>
      </c>
      <c r="G8" s="192">
        <v>1</v>
      </c>
      <c r="H8" s="160">
        <f t="shared" ref="H8:H9" si="0">G8/5</f>
        <v>0.2</v>
      </c>
      <c r="I8" s="84">
        <f t="shared" ref="I8:I9" si="1">F8+H8</f>
        <v>2.2000000000000002</v>
      </c>
      <c r="J8" s="134">
        <f t="shared" ref="J8:J9" si="2">I8/E8</f>
        <v>0.02</v>
      </c>
      <c r="K8" s="65"/>
    </row>
    <row r="9" spans="2:11" ht="22.5" customHeight="1" thickBot="1">
      <c r="B9" s="161" t="str">
        <f>참여업체현황!B8</f>
        <v>C사</v>
      </c>
      <c r="C9" s="637">
        <v>210</v>
      </c>
      <c r="D9" s="795"/>
      <c r="E9" s="162">
        <f>C9</f>
        <v>210</v>
      </c>
      <c r="F9" s="322">
        <v>1</v>
      </c>
      <c r="G9" s="193">
        <v>4</v>
      </c>
      <c r="H9" s="160">
        <f t="shared" si="0"/>
        <v>0.8</v>
      </c>
      <c r="I9" s="84">
        <f t="shared" si="1"/>
        <v>1.8</v>
      </c>
      <c r="J9" s="134">
        <f t="shared" si="2"/>
        <v>8.5714285714285719E-3</v>
      </c>
      <c r="K9" s="65"/>
    </row>
    <row r="10" spans="2:11" ht="22.5" customHeight="1">
      <c r="B10" s="115" t="s">
        <v>3</v>
      </c>
      <c r="C10" s="163"/>
      <c r="D10" s="163"/>
      <c r="E10" s="74"/>
      <c r="F10" s="163"/>
      <c r="G10" s="163"/>
      <c r="H10" s="74"/>
      <c r="I10" s="84"/>
      <c r="J10" s="135">
        <f>ROUND(SUM(J7:J9),4)</f>
        <v>3.2399999999999998E-2</v>
      </c>
      <c r="K10" s="65"/>
    </row>
    <row r="11" spans="2:11" ht="22.5" customHeight="1" thickBot="1">
      <c r="B11" s="299" t="s">
        <v>43</v>
      </c>
      <c r="C11" s="209"/>
      <c r="D11" s="209"/>
      <c r="E11" s="209"/>
      <c r="F11" s="209"/>
      <c r="G11" s="209"/>
      <c r="H11" s="209"/>
      <c r="I11" s="209"/>
      <c r="J11" s="213" t="str">
        <f>IF(J10&lt;5%,"3", IF(J10&lt;10%, "2.5", IF(J10&lt;15%, "2", IF(J10&lt;20%, "1", "0"))))</f>
        <v>3</v>
      </c>
      <c r="K11" s="65"/>
    </row>
    <row r="12" spans="2:11" ht="22.5" customHeight="1">
      <c r="B12" s="106"/>
      <c r="C12" s="106"/>
      <c r="D12" s="106"/>
      <c r="E12" s="106"/>
      <c r="F12" s="106"/>
      <c r="G12" s="106"/>
      <c r="H12" s="106"/>
      <c r="I12" s="136"/>
      <c r="J12" s="136"/>
      <c r="K12" s="65"/>
    </row>
    <row r="13" spans="2:11">
      <c r="B13" s="65"/>
      <c r="C13" s="65"/>
      <c r="D13" s="65"/>
      <c r="E13" s="65"/>
      <c r="F13" s="65"/>
      <c r="G13" s="65"/>
      <c r="H13" s="65"/>
      <c r="I13" s="65"/>
      <c r="J13" s="133"/>
      <c r="K13" s="65"/>
    </row>
    <row r="14" spans="2:11" ht="22.5" customHeight="1" thickBot="1">
      <c r="B14" s="64" t="s">
        <v>552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2:11" ht="37.5" customHeight="1" thickBot="1">
      <c r="B15" s="73" t="s">
        <v>197</v>
      </c>
      <c r="C15" s="70" t="s">
        <v>247</v>
      </c>
      <c r="D15" s="214" t="s">
        <v>248</v>
      </c>
      <c r="E15" s="214" t="s">
        <v>249</v>
      </c>
      <c r="F15" s="215" t="s">
        <v>250</v>
      </c>
      <c r="G15" s="516" t="s">
        <v>447</v>
      </c>
      <c r="H15" s="70" t="s">
        <v>251</v>
      </c>
      <c r="I15" s="71" t="s">
        <v>217</v>
      </c>
      <c r="J15" s="65"/>
      <c r="K15" s="65"/>
    </row>
    <row r="16" spans="2:11" ht="22.5" customHeight="1">
      <c r="B16" s="115" t="str">
        <f>참여기술인명단!B5</f>
        <v>책임
건설사업
관리기술인</v>
      </c>
      <c r="C16" s="295" t="str">
        <f>참여기술인명단!D5</f>
        <v>홍길일</v>
      </c>
      <c r="D16" s="444" t="s">
        <v>424</v>
      </c>
      <c r="E16" s="448" t="s">
        <v>425</v>
      </c>
      <c r="F16" s="448" t="s">
        <v>426</v>
      </c>
      <c r="G16" s="296">
        <v>1</v>
      </c>
      <c r="H16" s="160">
        <f>G16*0.25</f>
        <v>0.25</v>
      </c>
      <c r="I16" s="24"/>
      <c r="J16" s="65"/>
      <c r="K16" s="65"/>
    </row>
    <row r="17" spans="2:9" ht="22.5" customHeight="1">
      <c r="B17" s="796" t="str">
        <f>참여기술인명단!B6</f>
        <v>분야별
건설사업
관리기술인</v>
      </c>
      <c r="C17" s="408" t="str">
        <f>참여기술인명단!D6</f>
        <v>홍길이</v>
      </c>
      <c r="D17" s="445" t="s">
        <v>424</v>
      </c>
      <c r="E17" s="449" t="s">
        <v>427</v>
      </c>
      <c r="F17" s="449" t="s">
        <v>426</v>
      </c>
      <c r="G17" s="192">
        <v>0</v>
      </c>
      <c r="H17" s="160">
        <f t="shared" ref="H17:H19" si="3">G17*0.25</f>
        <v>0</v>
      </c>
      <c r="I17" s="24"/>
    </row>
    <row r="18" spans="2:9" ht="22.5" customHeight="1">
      <c r="B18" s="797"/>
      <c r="C18" s="454" t="str">
        <f>참여기술인명단!D7</f>
        <v>홍길삼</v>
      </c>
      <c r="D18" s="445" t="s">
        <v>428</v>
      </c>
      <c r="E18" s="449" t="s">
        <v>429</v>
      </c>
      <c r="F18" s="449" t="s">
        <v>430</v>
      </c>
      <c r="G18" s="192">
        <v>0</v>
      </c>
      <c r="H18" s="320">
        <f t="shared" si="3"/>
        <v>0</v>
      </c>
      <c r="I18" s="24"/>
    </row>
    <row r="19" spans="2:9" ht="22.5" customHeight="1">
      <c r="B19" s="798"/>
      <c r="C19" s="454" t="str">
        <f>참여기술인명단!D8</f>
        <v>홍길사</v>
      </c>
      <c r="D19" s="445" t="s">
        <v>428</v>
      </c>
      <c r="E19" s="449" t="s">
        <v>429</v>
      </c>
      <c r="F19" s="449" t="s">
        <v>430</v>
      </c>
      <c r="G19" s="192">
        <v>1</v>
      </c>
      <c r="H19" s="320">
        <f t="shared" si="3"/>
        <v>0.25</v>
      </c>
      <c r="I19" s="24"/>
    </row>
    <row r="20" spans="2:9" ht="22.5" customHeight="1">
      <c r="B20" s="777" t="str">
        <f>참여기술인명단!B9</f>
        <v>기술지원
기술인</v>
      </c>
      <c r="C20" s="295" t="str">
        <f>참여기술인명단!D9</f>
        <v>홍길오</v>
      </c>
      <c r="D20" s="445" t="s">
        <v>424</v>
      </c>
      <c r="E20" s="449" t="s">
        <v>431</v>
      </c>
      <c r="F20" s="449" t="s">
        <v>432</v>
      </c>
      <c r="G20" s="192">
        <v>0</v>
      </c>
      <c r="H20" s="160">
        <f>G20*0.1</f>
        <v>0</v>
      </c>
      <c r="I20" s="24"/>
    </row>
    <row r="21" spans="2:9" ht="22.5" customHeight="1">
      <c r="B21" s="777"/>
      <c r="C21" s="295" t="str">
        <f>참여기술인명단!D10</f>
        <v>홍길육</v>
      </c>
      <c r="D21" s="445" t="s">
        <v>424</v>
      </c>
      <c r="E21" s="449" t="s">
        <v>425</v>
      </c>
      <c r="F21" s="449" t="s">
        <v>432</v>
      </c>
      <c r="G21" s="192">
        <v>0</v>
      </c>
      <c r="H21" s="320">
        <f t="shared" ref="H21:H22" si="4">G21*0.1</f>
        <v>0</v>
      </c>
      <c r="I21" s="24"/>
    </row>
    <row r="22" spans="2:9" ht="22.5" customHeight="1" thickBot="1">
      <c r="B22" s="777"/>
      <c r="C22" s="295">
        <f>참여기술인명단!D11</f>
        <v>0</v>
      </c>
      <c r="D22" s="451" t="s">
        <v>424</v>
      </c>
      <c r="E22" s="452" t="s">
        <v>427</v>
      </c>
      <c r="F22" s="452" t="s">
        <v>432</v>
      </c>
      <c r="G22" s="193">
        <v>1</v>
      </c>
      <c r="H22" s="320">
        <f t="shared" si="4"/>
        <v>0.1</v>
      </c>
      <c r="I22" s="24"/>
    </row>
    <row r="23" spans="2:9" ht="22.5" customHeight="1">
      <c r="B23" s="115" t="s">
        <v>189</v>
      </c>
      <c r="C23" s="74"/>
      <c r="D23" s="163"/>
      <c r="E23" s="163"/>
      <c r="F23" s="163"/>
      <c r="G23" s="163"/>
      <c r="H23" s="74">
        <f>SUM(H16:H22)</f>
        <v>0.6</v>
      </c>
      <c r="I23" s="24"/>
    </row>
    <row r="24" spans="2:9" ht="22.5" customHeight="1" thickBot="1">
      <c r="B24" s="299" t="s">
        <v>285</v>
      </c>
      <c r="C24" s="209"/>
      <c r="D24" s="209"/>
      <c r="E24" s="209"/>
      <c r="F24" s="209"/>
      <c r="G24" s="209"/>
      <c r="H24" s="209">
        <f>2-H23</f>
        <v>1.4</v>
      </c>
      <c r="I24" s="213"/>
    </row>
  </sheetData>
  <mergeCells count="14">
    <mergeCell ref="B20:B22"/>
    <mergeCell ref="E5:E6"/>
    <mergeCell ref="B1:K1"/>
    <mergeCell ref="B4:B6"/>
    <mergeCell ref="J4:J6"/>
    <mergeCell ref="F4:I4"/>
    <mergeCell ref="C4:E4"/>
    <mergeCell ref="F5:F6"/>
    <mergeCell ref="G5:H5"/>
    <mergeCell ref="C5:D6"/>
    <mergeCell ref="C7:D7"/>
    <mergeCell ref="C8:D8"/>
    <mergeCell ref="C9:D9"/>
    <mergeCell ref="B17:B19"/>
  </mergeCells>
  <phoneticPr fontId="8" type="noConversion"/>
  <printOptions horizontalCentered="1"/>
  <pageMargins left="0.59055118110236227" right="0.59055118110236227" top="0.78740157480314965" bottom="0.78740157480314965" header="0.19685039370078741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5"/>
  <sheetViews>
    <sheetView tabSelected="1" view="pageBreakPreview" zoomScale="85" zoomScaleNormal="85" zoomScaleSheetLayoutView="85" workbookViewId="0">
      <selection activeCell="E18" sqref="E18"/>
    </sheetView>
  </sheetViews>
  <sheetFormatPr defaultRowHeight="16.5"/>
  <cols>
    <col min="1" max="1" width="2.125" style="519" customWidth="1"/>
    <col min="2" max="2" width="14.625" style="519" customWidth="1"/>
    <col min="3" max="3" width="12.625" style="519" bestFit="1" customWidth="1"/>
    <col min="4" max="4" width="14.25" style="519" customWidth="1"/>
    <col min="5" max="5" width="20.25" style="519" customWidth="1"/>
    <col min="6" max="7" width="17.375" style="519" customWidth="1"/>
    <col min="8" max="9" width="11.125" style="519" customWidth="1"/>
    <col min="10" max="10" width="10.75" style="519" customWidth="1"/>
    <col min="11" max="256" width="9" style="519"/>
    <col min="257" max="257" width="2.125" style="519" customWidth="1"/>
    <col min="258" max="258" width="14.625" style="519" customWidth="1"/>
    <col min="259" max="259" width="12.625" style="519" bestFit="1" customWidth="1"/>
    <col min="260" max="260" width="14.25" style="519" customWidth="1"/>
    <col min="261" max="261" width="20.25" style="519" customWidth="1"/>
    <col min="262" max="263" width="17.375" style="519" customWidth="1"/>
    <col min="264" max="265" width="11.125" style="519" customWidth="1"/>
    <col min="266" max="266" width="10.75" style="519" customWidth="1"/>
    <col min="267" max="512" width="9" style="519"/>
    <col min="513" max="513" width="2.125" style="519" customWidth="1"/>
    <col min="514" max="514" width="14.625" style="519" customWidth="1"/>
    <col min="515" max="515" width="12.625" style="519" bestFit="1" customWidth="1"/>
    <col min="516" max="516" width="14.25" style="519" customWidth="1"/>
    <col min="517" max="517" width="20.25" style="519" customWidth="1"/>
    <col min="518" max="519" width="17.375" style="519" customWidth="1"/>
    <col min="520" max="521" width="11.125" style="519" customWidth="1"/>
    <col min="522" max="522" width="10.75" style="519" customWidth="1"/>
    <col min="523" max="768" width="9" style="519"/>
    <col min="769" max="769" width="2.125" style="519" customWidth="1"/>
    <col min="770" max="770" width="14.625" style="519" customWidth="1"/>
    <col min="771" max="771" width="12.625" style="519" bestFit="1" customWidth="1"/>
    <col min="772" max="772" width="14.25" style="519" customWidth="1"/>
    <col min="773" max="773" width="20.25" style="519" customWidth="1"/>
    <col min="774" max="775" width="17.375" style="519" customWidth="1"/>
    <col min="776" max="777" width="11.125" style="519" customWidth="1"/>
    <col min="778" max="778" width="10.75" style="519" customWidth="1"/>
    <col min="779" max="1024" width="9" style="519"/>
    <col min="1025" max="1025" width="2.125" style="519" customWidth="1"/>
    <col min="1026" max="1026" width="14.625" style="519" customWidth="1"/>
    <col min="1027" max="1027" width="12.625" style="519" bestFit="1" customWidth="1"/>
    <col min="1028" max="1028" width="14.25" style="519" customWidth="1"/>
    <col min="1029" max="1029" width="20.25" style="519" customWidth="1"/>
    <col min="1030" max="1031" width="17.375" style="519" customWidth="1"/>
    <col min="1032" max="1033" width="11.125" style="519" customWidth="1"/>
    <col min="1034" max="1034" width="10.75" style="519" customWidth="1"/>
    <col min="1035" max="1280" width="9" style="519"/>
    <col min="1281" max="1281" width="2.125" style="519" customWidth="1"/>
    <col min="1282" max="1282" width="14.625" style="519" customWidth="1"/>
    <col min="1283" max="1283" width="12.625" style="519" bestFit="1" customWidth="1"/>
    <col min="1284" max="1284" width="14.25" style="519" customWidth="1"/>
    <col min="1285" max="1285" width="20.25" style="519" customWidth="1"/>
    <col min="1286" max="1287" width="17.375" style="519" customWidth="1"/>
    <col min="1288" max="1289" width="11.125" style="519" customWidth="1"/>
    <col min="1290" max="1290" width="10.75" style="519" customWidth="1"/>
    <col min="1291" max="1536" width="9" style="519"/>
    <col min="1537" max="1537" width="2.125" style="519" customWidth="1"/>
    <col min="1538" max="1538" width="14.625" style="519" customWidth="1"/>
    <col min="1539" max="1539" width="12.625" style="519" bestFit="1" customWidth="1"/>
    <col min="1540" max="1540" width="14.25" style="519" customWidth="1"/>
    <col min="1541" max="1541" width="20.25" style="519" customWidth="1"/>
    <col min="1542" max="1543" width="17.375" style="519" customWidth="1"/>
    <col min="1544" max="1545" width="11.125" style="519" customWidth="1"/>
    <col min="1546" max="1546" width="10.75" style="519" customWidth="1"/>
    <col min="1547" max="1792" width="9" style="519"/>
    <col min="1793" max="1793" width="2.125" style="519" customWidth="1"/>
    <col min="1794" max="1794" width="14.625" style="519" customWidth="1"/>
    <col min="1795" max="1795" width="12.625" style="519" bestFit="1" customWidth="1"/>
    <col min="1796" max="1796" width="14.25" style="519" customWidth="1"/>
    <col min="1797" max="1797" width="20.25" style="519" customWidth="1"/>
    <col min="1798" max="1799" width="17.375" style="519" customWidth="1"/>
    <col min="1800" max="1801" width="11.125" style="519" customWidth="1"/>
    <col min="1802" max="1802" width="10.75" style="519" customWidth="1"/>
    <col min="1803" max="2048" width="9" style="519"/>
    <col min="2049" max="2049" width="2.125" style="519" customWidth="1"/>
    <col min="2050" max="2050" width="14.625" style="519" customWidth="1"/>
    <col min="2051" max="2051" width="12.625" style="519" bestFit="1" customWidth="1"/>
    <col min="2052" max="2052" width="14.25" style="519" customWidth="1"/>
    <col min="2053" max="2053" width="20.25" style="519" customWidth="1"/>
    <col min="2054" max="2055" width="17.375" style="519" customWidth="1"/>
    <col min="2056" max="2057" width="11.125" style="519" customWidth="1"/>
    <col min="2058" max="2058" width="10.75" style="519" customWidth="1"/>
    <col min="2059" max="2304" width="9" style="519"/>
    <col min="2305" max="2305" width="2.125" style="519" customWidth="1"/>
    <col min="2306" max="2306" width="14.625" style="519" customWidth="1"/>
    <col min="2307" max="2307" width="12.625" style="519" bestFit="1" customWidth="1"/>
    <col min="2308" max="2308" width="14.25" style="519" customWidth="1"/>
    <col min="2309" max="2309" width="20.25" style="519" customWidth="1"/>
    <col min="2310" max="2311" width="17.375" style="519" customWidth="1"/>
    <col min="2312" max="2313" width="11.125" style="519" customWidth="1"/>
    <col min="2314" max="2314" width="10.75" style="519" customWidth="1"/>
    <col min="2315" max="2560" width="9" style="519"/>
    <col min="2561" max="2561" width="2.125" style="519" customWidth="1"/>
    <col min="2562" max="2562" width="14.625" style="519" customWidth="1"/>
    <col min="2563" max="2563" width="12.625" style="519" bestFit="1" customWidth="1"/>
    <col min="2564" max="2564" width="14.25" style="519" customWidth="1"/>
    <col min="2565" max="2565" width="20.25" style="519" customWidth="1"/>
    <col min="2566" max="2567" width="17.375" style="519" customWidth="1"/>
    <col min="2568" max="2569" width="11.125" style="519" customWidth="1"/>
    <col min="2570" max="2570" width="10.75" style="519" customWidth="1"/>
    <col min="2571" max="2816" width="9" style="519"/>
    <col min="2817" max="2817" width="2.125" style="519" customWidth="1"/>
    <col min="2818" max="2818" width="14.625" style="519" customWidth="1"/>
    <col min="2819" max="2819" width="12.625" style="519" bestFit="1" customWidth="1"/>
    <col min="2820" max="2820" width="14.25" style="519" customWidth="1"/>
    <col min="2821" max="2821" width="20.25" style="519" customWidth="1"/>
    <col min="2822" max="2823" width="17.375" style="519" customWidth="1"/>
    <col min="2824" max="2825" width="11.125" style="519" customWidth="1"/>
    <col min="2826" max="2826" width="10.75" style="519" customWidth="1"/>
    <col min="2827" max="3072" width="9" style="519"/>
    <col min="3073" max="3073" width="2.125" style="519" customWidth="1"/>
    <col min="3074" max="3074" width="14.625" style="519" customWidth="1"/>
    <col min="3075" max="3075" width="12.625" style="519" bestFit="1" customWidth="1"/>
    <col min="3076" max="3076" width="14.25" style="519" customWidth="1"/>
    <col min="3077" max="3077" width="20.25" style="519" customWidth="1"/>
    <col min="3078" max="3079" width="17.375" style="519" customWidth="1"/>
    <col min="3080" max="3081" width="11.125" style="519" customWidth="1"/>
    <col min="3082" max="3082" width="10.75" style="519" customWidth="1"/>
    <col min="3083" max="3328" width="9" style="519"/>
    <col min="3329" max="3329" width="2.125" style="519" customWidth="1"/>
    <col min="3330" max="3330" width="14.625" style="519" customWidth="1"/>
    <col min="3331" max="3331" width="12.625" style="519" bestFit="1" customWidth="1"/>
    <col min="3332" max="3332" width="14.25" style="519" customWidth="1"/>
    <col min="3333" max="3333" width="20.25" style="519" customWidth="1"/>
    <col min="3334" max="3335" width="17.375" style="519" customWidth="1"/>
    <col min="3336" max="3337" width="11.125" style="519" customWidth="1"/>
    <col min="3338" max="3338" width="10.75" style="519" customWidth="1"/>
    <col min="3339" max="3584" width="9" style="519"/>
    <col min="3585" max="3585" width="2.125" style="519" customWidth="1"/>
    <col min="3586" max="3586" width="14.625" style="519" customWidth="1"/>
    <col min="3587" max="3587" width="12.625" style="519" bestFit="1" customWidth="1"/>
    <col min="3588" max="3588" width="14.25" style="519" customWidth="1"/>
    <col min="3589" max="3589" width="20.25" style="519" customWidth="1"/>
    <col min="3590" max="3591" width="17.375" style="519" customWidth="1"/>
    <col min="3592" max="3593" width="11.125" style="519" customWidth="1"/>
    <col min="3594" max="3594" width="10.75" style="519" customWidth="1"/>
    <col min="3595" max="3840" width="9" style="519"/>
    <col min="3841" max="3841" width="2.125" style="519" customWidth="1"/>
    <col min="3842" max="3842" width="14.625" style="519" customWidth="1"/>
    <col min="3843" max="3843" width="12.625" style="519" bestFit="1" customWidth="1"/>
    <col min="3844" max="3844" width="14.25" style="519" customWidth="1"/>
    <col min="3845" max="3845" width="20.25" style="519" customWidth="1"/>
    <col min="3846" max="3847" width="17.375" style="519" customWidth="1"/>
    <col min="3848" max="3849" width="11.125" style="519" customWidth="1"/>
    <col min="3850" max="3850" width="10.75" style="519" customWidth="1"/>
    <col min="3851" max="4096" width="9" style="519"/>
    <col min="4097" max="4097" width="2.125" style="519" customWidth="1"/>
    <col min="4098" max="4098" width="14.625" style="519" customWidth="1"/>
    <col min="4099" max="4099" width="12.625" style="519" bestFit="1" customWidth="1"/>
    <col min="4100" max="4100" width="14.25" style="519" customWidth="1"/>
    <col min="4101" max="4101" width="20.25" style="519" customWidth="1"/>
    <col min="4102" max="4103" width="17.375" style="519" customWidth="1"/>
    <col min="4104" max="4105" width="11.125" style="519" customWidth="1"/>
    <col min="4106" max="4106" width="10.75" style="519" customWidth="1"/>
    <col min="4107" max="4352" width="9" style="519"/>
    <col min="4353" max="4353" width="2.125" style="519" customWidth="1"/>
    <col min="4354" max="4354" width="14.625" style="519" customWidth="1"/>
    <col min="4355" max="4355" width="12.625" style="519" bestFit="1" customWidth="1"/>
    <col min="4356" max="4356" width="14.25" style="519" customWidth="1"/>
    <col min="4357" max="4357" width="20.25" style="519" customWidth="1"/>
    <col min="4358" max="4359" width="17.375" style="519" customWidth="1"/>
    <col min="4360" max="4361" width="11.125" style="519" customWidth="1"/>
    <col min="4362" max="4362" width="10.75" style="519" customWidth="1"/>
    <col min="4363" max="4608" width="9" style="519"/>
    <col min="4609" max="4609" width="2.125" style="519" customWidth="1"/>
    <col min="4610" max="4610" width="14.625" style="519" customWidth="1"/>
    <col min="4611" max="4611" width="12.625" style="519" bestFit="1" customWidth="1"/>
    <col min="4612" max="4612" width="14.25" style="519" customWidth="1"/>
    <col min="4613" max="4613" width="20.25" style="519" customWidth="1"/>
    <col min="4614" max="4615" width="17.375" style="519" customWidth="1"/>
    <col min="4616" max="4617" width="11.125" style="519" customWidth="1"/>
    <col min="4618" max="4618" width="10.75" style="519" customWidth="1"/>
    <col min="4619" max="4864" width="9" style="519"/>
    <col min="4865" max="4865" width="2.125" style="519" customWidth="1"/>
    <col min="4866" max="4866" width="14.625" style="519" customWidth="1"/>
    <col min="4867" max="4867" width="12.625" style="519" bestFit="1" customWidth="1"/>
    <col min="4868" max="4868" width="14.25" style="519" customWidth="1"/>
    <col min="4869" max="4869" width="20.25" style="519" customWidth="1"/>
    <col min="4870" max="4871" width="17.375" style="519" customWidth="1"/>
    <col min="4872" max="4873" width="11.125" style="519" customWidth="1"/>
    <col min="4874" max="4874" width="10.75" style="519" customWidth="1"/>
    <col min="4875" max="5120" width="9" style="519"/>
    <col min="5121" max="5121" width="2.125" style="519" customWidth="1"/>
    <col min="5122" max="5122" width="14.625" style="519" customWidth="1"/>
    <col min="5123" max="5123" width="12.625" style="519" bestFit="1" customWidth="1"/>
    <col min="5124" max="5124" width="14.25" style="519" customWidth="1"/>
    <col min="5125" max="5125" width="20.25" style="519" customWidth="1"/>
    <col min="5126" max="5127" width="17.375" style="519" customWidth="1"/>
    <col min="5128" max="5129" width="11.125" style="519" customWidth="1"/>
    <col min="5130" max="5130" width="10.75" style="519" customWidth="1"/>
    <col min="5131" max="5376" width="9" style="519"/>
    <col min="5377" max="5377" width="2.125" style="519" customWidth="1"/>
    <col min="5378" max="5378" width="14.625" style="519" customWidth="1"/>
    <col min="5379" max="5379" width="12.625" style="519" bestFit="1" customWidth="1"/>
    <col min="5380" max="5380" width="14.25" style="519" customWidth="1"/>
    <col min="5381" max="5381" width="20.25" style="519" customWidth="1"/>
    <col min="5382" max="5383" width="17.375" style="519" customWidth="1"/>
    <col min="5384" max="5385" width="11.125" style="519" customWidth="1"/>
    <col min="5386" max="5386" width="10.75" style="519" customWidth="1"/>
    <col min="5387" max="5632" width="9" style="519"/>
    <col min="5633" max="5633" width="2.125" style="519" customWidth="1"/>
    <col min="5634" max="5634" width="14.625" style="519" customWidth="1"/>
    <col min="5635" max="5635" width="12.625" style="519" bestFit="1" customWidth="1"/>
    <col min="5636" max="5636" width="14.25" style="519" customWidth="1"/>
    <col min="5637" max="5637" width="20.25" style="519" customWidth="1"/>
    <col min="5638" max="5639" width="17.375" style="519" customWidth="1"/>
    <col min="5640" max="5641" width="11.125" style="519" customWidth="1"/>
    <col min="5642" max="5642" width="10.75" style="519" customWidth="1"/>
    <col min="5643" max="5888" width="9" style="519"/>
    <col min="5889" max="5889" width="2.125" style="519" customWidth="1"/>
    <col min="5890" max="5890" width="14.625" style="519" customWidth="1"/>
    <col min="5891" max="5891" width="12.625" style="519" bestFit="1" customWidth="1"/>
    <col min="5892" max="5892" width="14.25" style="519" customWidth="1"/>
    <col min="5893" max="5893" width="20.25" style="519" customWidth="1"/>
    <col min="5894" max="5895" width="17.375" style="519" customWidth="1"/>
    <col min="5896" max="5897" width="11.125" style="519" customWidth="1"/>
    <col min="5898" max="5898" width="10.75" style="519" customWidth="1"/>
    <col min="5899" max="6144" width="9" style="519"/>
    <col min="6145" max="6145" width="2.125" style="519" customWidth="1"/>
    <col min="6146" max="6146" width="14.625" style="519" customWidth="1"/>
    <col min="6147" max="6147" width="12.625" style="519" bestFit="1" customWidth="1"/>
    <col min="6148" max="6148" width="14.25" style="519" customWidth="1"/>
    <col min="6149" max="6149" width="20.25" style="519" customWidth="1"/>
    <col min="6150" max="6151" width="17.375" style="519" customWidth="1"/>
    <col min="6152" max="6153" width="11.125" style="519" customWidth="1"/>
    <col min="6154" max="6154" width="10.75" style="519" customWidth="1"/>
    <col min="6155" max="6400" width="9" style="519"/>
    <col min="6401" max="6401" width="2.125" style="519" customWidth="1"/>
    <col min="6402" max="6402" width="14.625" style="519" customWidth="1"/>
    <col min="6403" max="6403" width="12.625" style="519" bestFit="1" customWidth="1"/>
    <col min="6404" max="6404" width="14.25" style="519" customWidth="1"/>
    <col min="6405" max="6405" width="20.25" style="519" customWidth="1"/>
    <col min="6406" max="6407" width="17.375" style="519" customWidth="1"/>
    <col min="6408" max="6409" width="11.125" style="519" customWidth="1"/>
    <col min="6410" max="6410" width="10.75" style="519" customWidth="1"/>
    <col min="6411" max="6656" width="9" style="519"/>
    <col min="6657" max="6657" width="2.125" style="519" customWidth="1"/>
    <col min="6658" max="6658" width="14.625" style="519" customWidth="1"/>
    <col min="6659" max="6659" width="12.625" style="519" bestFit="1" customWidth="1"/>
    <col min="6660" max="6660" width="14.25" style="519" customWidth="1"/>
    <col min="6661" max="6661" width="20.25" style="519" customWidth="1"/>
    <col min="6662" max="6663" width="17.375" style="519" customWidth="1"/>
    <col min="6664" max="6665" width="11.125" style="519" customWidth="1"/>
    <col min="6666" max="6666" width="10.75" style="519" customWidth="1"/>
    <col min="6667" max="6912" width="9" style="519"/>
    <col min="6913" max="6913" width="2.125" style="519" customWidth="1"/>
    <col min="6914" max="6914" width="14.625" style="519" customWidth="1"/>
    <col min="6915" max="6915" width="12.625" style="519" bestFit="1" customWidth="1"/>
    <col min="6916" max="6916" width="14.25" style="519" customWidth="1"/>
    <col min="6917" max="6917" width="20.25" style="519" customWidth="1"/>
    <col min="6918" max="6919" width="17.375" style="519" customWidth="1"/>
    <col min="6920" max="6921" width="11.125" style="519" customWidth="1"/>
    <col min="6922" max="6922" width="10.75" style="519" customWidth="1"/>
    <col min="6923" max="7168" width="9" style="519"/>
    <col min="7169" max="7169" width="2.125" style="519" customWidth="1"/>
    <col min="7170" max="7170" width="14.625" style="519" customWidth="1"/>
    <col min="7171" max="7171" width="12.625" style="519" bestFit="1" customWidth="1"/>
    <col min="7172" max="7172" width="14.25" style="519" customWidth="1"/>
    <col min="7173" max="7173" width="20.25" style="519" customWidth="1"/>
    <col min="7174" max="7175" width="17.375" style="519" customWidth="1"/>
    <col min="7176" max="7177" width="11.125" style="519" customWidth="1"/>
    <col min="7178" max="7178" width="10.75" style="519" customWidth="1"/>
    <col min="7179" max="7424" width="9" style="519"/>
    <col min="7425" max="7425" width="2.125" style="519" customWidth="1"/>
    <col min="7426" max="7426" width="14.625" style="519" customWidth="1"/>
    <col min="7427" max="7427" width="12.625" style="519" bestFit="1" customWidth="1"/>
    <col min="7428" max="7428" width="14.25" style="519" customWidth="1"/>
    <col min="7429" max="7429" width="20.25" style="519" customWidth="1"/>
    <col min="7430" max="7431" width="17.375" style="519" customWidth="1"/>
    <col min="7432" max="7433" width="11.125" style="519" customWidth="1"/>
    <col min="7434" max="7434" width="10.75" style="519" customWidth="1"/>
    <col min="7435" max="7680" width="9" style="519"/>
    <col min="7681" max="7681" width="2.125" style="519" customWidth="1"/>
    <col min="7682" max="7682" width="14.625" style="519" customWidth="1"/>
    <col min="7683" max="7683" width="12.625" style="519" bestFit="1" customWidth="1"/>
    <col min="7684" max="7684" width="14.25" style="519" customWidth="1"/>
    <col min="7685" max="7685" width="20.25" style="519" customWidth="1"/>
    <col min="7686" max="7687" width="17.375" style="519" customWidth="1"/>
    <col min="7688" max="7689" width="11.125" style="519" customWidth="1"/>
    <col min="7690" max="7690" width="10.75" style="519" customWidth="1"/>
    <col min="7691" max="7936" width="9" style="519"/>
    <col min="7937" max="7937" width="2.125" style="519" customWidth="1"/>
    <col min="7938" max="7938" width="14.625" style="519" customWidth="1"/>
    <col min="7939" max="7939" width="12.625" style="519" bestFit="1" customWidth="1"/>
    <col min="7940" max="7940" width="14.25" style="519" customWidth="1"/>
    <col min="7941" max="7941" width="20.25" style="519" customWidth="1"/>
    <col min="7942" max="7943" width="17.375" style="519" customWidth="1"/>
    <col min="7944" max="7945" width="11.125" style="519" customWidth="1"/>
    <col min="7946" max="7946" width="10.75" style="519" customWidth="1"/>
    <col min="7947" max="8192" width="9" style="519"/>
    <col min="8193" max="8193" width="2.125" style="519" customWidth="1"/>
    <col min="8194" max="8194" width="14.625" style="519" customWidth="1"/>
    <col min="8195" max="8195" width="12.625" style="519" bestFit="1" customWidth="1"/>
    <col min="8196" max="8196" width="14.25" style="519" customWidth="1"/>
    <col min="8197" max="8197" width="20.25" style="519" customWidth="1"/>
    <col min="8198" max="8199" width="17.375" style="519" customWidth="1"/>
    <col min="8200" max="8201" width="11.125" style="519" customWidth="1"/>
    <col min="8202" max="8202" width="10.75" style="519" customWidth="1"/>
    <col min="8203" max="8448" width="9" style="519"/>
    <col min="8449" max="8449" width="2.125" style="519" customWidth="1"/>
    <col min="8450" max="8450" width="14.625" style="519" customWidth="1"/>
    <col min="8451" max="8451" width="12.625" style="519" bestFit="1" customWidth="1"/>
    <col min="8452" max="8452" width="14.25" style="519" customWidth="1"/>
    <col min="8453" max="8453" width="20.25" style="519" customWidth="1"/>
    <col min="8454" max="8455" width="17.375" style="519" customWidth="1"/>
    <col min="8456" max="8457" width="11.125" style="519" customWidth="1"/>
    <col min="8458" max="8458" width="10.75" style="519" customWidth="1"/>
    <col min="8459" max="8704" width="9" style="519"/>
    <col min="8705" max="8705" width="2.125" style="519" customWidth="1"/>
    <col min="8706" max="8706" width="14.625" style="519" customWidth="1"/>
    <col min="8707" max="8707" width="12.625" style="519" bestFit="1" customWidth="1"/>
    <col min="8708" max="8708" width="14.25" style="519" customWidth="1"/>
    <col min="8709" max="8709" width="20.25" style="519" customWidth="1"/>
    <col min="8710" max="8711" width="17.375" style="519" customWidth="1"/>
    <col min="8712" max="8713" width="11.125" style="519" customWidth="1"/>
    <col min="8714" max="8714" width="10.75" style="519" customWidth="1"/>
    <col min="8715" max="8960" width="9" style="519"/>
    <col min="8961" max="8961" width="2.125" style="519" customWidth="1"/>
    <col min="8962" max="8962" width="14.625" style="519" customWidth="1"/>
    <col min="8963" max="8963" width="12.625" style="519" bestFit="1" customWidth="1"/>
    <col min="8964" max="8964" width="14.25" style="519" customWidth="1"/>
    <col min="8965" max="8965" width="20.25" style="519" customWidth="1"/>
    <col min="8966" max="8967" width="17.375" style="519" customWidth="1"/>
    <col min="8968" max="8969" width="11.125" style="519" customWidth="1"/>
    <col min="8970" max="8970" width="10.75" style="519" customWidth="1"/>
    <col min="8971" max="9216" width="9" style="519"/>
    <col min="9217" max="9217" width="2.125" style="519" customWidth="1"/>
    <col min="9218" max="9218" width="14.625" style="519" customWidth="1"/>
    <col min="9219" max="9219" width="12.625" style="519" bestFit="1" customWidth="1"/>
    <col min="9220" max="9220" width="14.25" style="519" customWidth="1"/>
    <col min="9221" max="9221" width="20.25" style="519" customWidth="1"/>
    <col min="9222" max="9223" width="17.375" style="519" customWidth="1"/>
    <col min="9224" max="9225" width="11.125" style="519" customWidth="1"/>
    <col min="9226" max="9226" width="10.75" style="519" customWidth="1"/>
    <col min="9227" max="9472" width="9" style="519"/>
    <col min="9473" max="9473" width="2.125" style="519" customWidth="1"/>
    <col min="9474" max="9474" width="14.625" style="519" customWidth="1"/>
    <col min="9475" max="9475" width="12.625" style="519" bestFit="1" customWidth="1"/>
    <col min="9476" max="9476" width="14.25" style="519" customWidth="1"/>
    <col min="9477" max="9477" width="20.25" style="519" customWidth="1"/>
    <col min="9478" max="9479" width="17.375" style="519" customWidth="1"/>
    <col min="9480" max="9481" width="11.125" style="519" customWidth="1"/>
    <col min="9482" max="9482" width="10.75" style="519" customWidth="1"/>
    <col min="9483" max="9728" width="9" style="519"/>
    <col min="9729" max="9729" width="2.125" style="519" customWidth="1"/>
    <col min="9730" max="9730" width="14.625" style="519" customWidth="1"/>
    <col min="9731" max="9731" width="12.625" style="519" bestFit="1" customWidth="1"/>
    <col min="9732" max="9732" width="14.25" style="519" customWidth="1"/>
    <col min="9733" max="9733" width="20.25" style="519" customWidth="1"/>
    <col min="9734" max="9735" width="17.375" style="519" customWidth="1"/>
    <col min="9736" max="9737" width="11.125" style="519" customWidth="1"/>
    <col min="9738" max="9738" width="10.75" style="519" customWidth="1"/>
    <col min="9739" max="9984" width="9" style="519"/>
    <col min="9985" max="9985" width="2.125" style="519" customWidth="1"/>
    <col min="9986" max="9986" width="14.625" style="519" customWidth="1"/>
    <col min="9987" max="9987" width="12.625" style="519" bestFit="1" customWidth="1"/>
    <col min="9988" max="9988" width="14.25" style="519" customWidth="1"/>
    <col min="9989" max="9989" width="20.25" style="519" customWidth="1"/>
    <col min="9990" max="9991" width="17.375" style="519" customWidth="1"/>
    <col min="9992" max="9993" width="11.125" style="519" customWidth="1"/>
    <col min="9994" max="9994" width="10.75" style="519" customWidth="1"/>
    <col min="9995" max="10240" width="9" style="519"/>
    <col min="10241" max="10241" width="2.125" style="519" customWidth="1"/>
    <col min="10242" max="10242" width="14.625" style="519" customWidth="1"/>
    <col min="10243" max="10243" width="12.625" style="519" bestFit="1" customWidth="1"/>
    <col min="10244" max="10244" width="14.25" style="519" customWidth="1"/>
    <col min="10245" max="10245" width="20.25" style="519" customWidth="1"/>
    <col min="10246" max="10247" width="17.375" style="519" customWidth="1"/>
    <col min="10248" max="10249" width="11.125" style="519" customWidth="1"/>
    <col min="10250" max="10250" width="10.75" style="519" customWidth="1"/>
    <col min="10251" max="10496" width="9" style="519"/>
    <col min="10497" max="10497" width="2.125" style="519" customWidth="1"/>
    <col min="10498" max="10498" width="14.625" style="519" customWidth="1"/>
    <col min="10499" max="10499" width="12.625" style="519" bestFit="1" customWidth="1"/>
    <col min="10500" max="10500" width="14.25" style="519" customWidth="1"/>
    <col min="10501" max="10501" width="20.25" style="519" customWidth="1"/>
    <col min="10502" max="10503" width="17.375" style="519" customWidth="1"/>
    <col min="10504" max="10505" width="11.125" style="519" customWidth="1"/>
    <col min="10506" max="10506" width="10.75" style="519" customWidth="1"/>
    <col min="10507" max="10752" width="9" style="519"/>
    <col min="10753" max="10753" width="2.125" style="519" customWidth="1"/>
    <col min="10754" max="10754" width="14.625" style="519" customWidth="1"/>
    <col min="10755" max="10755" width="12.625" style="519" bestFit="1" customWidth="1"/>
    <col min="10756" max="10756" width="14.25" style="519" customWidth="1"/>
    <col min="10757" max="10757" width="20.25" style="519" customWidth="1"/>
    <col min="10758" max="10759" width="17.375" style="519" customWidth="1"/>
    <col min="10760" max="10761" width="11.125" style="519" customWidth="1"/>
    <col min="10762" max="10762" width="10.75" style="519" customWidth="1"/>
    <col min="10763" max="11008" width="9" style="519"/>
    <col min="11009" max="11009" width="2.125" style="519" customWidth="1"/>
    <col min="11010" max="11010" width="14.625" style="519" customWidth="1"/>
    <col min="11011" max="11011" width="12.625" style="519" bestFit="1" customWidth="1"/>
    <col min="11012" max="11012" width="14.25" style="519" customWidth="1"/>
    <col min="11013" max="11013" width="20.25" style="519" customWidth="1"/>
    <col min="11014" max="11015" width="17.375" style="519" customWidth="1"/>
    <col min="11016" max="11017" width="11.125" style="519" customWidth="1"/>
    <col min="11018" max="11018" width="10.75" style="519" customWidth="1"/>
    <col min="11019" max="11264" width="9" style="519"/>
    <col min="11265" max="11265" width="2.125" style="519" customWidth="1"/>
    <col min="11266" max="11266" width="14.625" style="519" customWidth="1"/>
    <col min="11267" max="11267" width="12.625" style="519" bestFit="1" customWidth="1"/>
    <col min="11268" max="11268" width="14.25" style="519" customWidth="1"/>
    <col min="11269" max="11269" width="20.25" style="519" customWidth="1"/>
    <col min="11270" max="11271" width="17.375" style="519" customWidth="1"/>
    <col min="11272" max="11273" width="11.125" style="519" customWidth="1"/>
    <col min="11274" max="11274" width="10.75" style="519" customWidth="1"/>
    <col min="11275" max="11520" width="9" style="519"/>
    <col min="11521" max="11521" width="2.125" style="519" customWidth="1"/>
    <col min="11522" max="11522" width="14.625" style="519" customWidth="1"/>
    <col min="11523" max="11523" width="12.625" style="519" bestFit="1" customWidth="1"/>
    <col min="11524" max="11524" width="14.25" style="519" customWidth="1"/>
    <col min="11525" max="11525" width="20.25" style="519" customWidth="1"/>
    <col min="11526" max="11527" width="17.375" style="519" customWidth="1"/>
    <col min="11528" max="11529" width="11.125" style="519" customWidth="1"/>
    <col min="11530" max="11530" width="10.75" style="519" customWidth="1"/>
    <col min="11531" max="11776" width="9" style="519"/>
    <col min="11777" max="11777" width="2.125" style="519" customWidth="1"/>
    <col min="11778" max="11778" width="14.625" style="519" customWidth="1"/>
    <col min="11779" max="11779" width="12.625" style="519" bestFit="1" customWidth="1"/>
    <col min="11780" max="11780" width="14.25" style="519" customWidth="1"/>
    <col min="11781" max="11781" width="20.25" style="519" customWidth="1"/>
    <col min="11782" max="11783" width="17.375" style="519" customWidth="1"/>
    <col min="11784" max="11785" width="11.125" style="519" customWidth="1"/>
    <col min="11786" max="11786" width="10.75" style="519" customWidth="1"/>
    <col min="11787" max="12032" width="9" style="519"/>
    <col min="12033" max="12033" width="2.125" style="519" customWidth="1"/>
    <col min="12034" max="12034" width="14.625" style="519" customWidth="1"/>
    <col min="12035" max="12035" width="12.625" style="519" bestFit="1" customWidth="1"/>
    <col min="12036" max="12036" width="14.25" style="519" customWidth="1"/>
    <col min="12037" max="12037" width="20.25" style="519" customWidth="1"/>
    <col min="12038" max="12039" width="17.375" style="519" customWidth="1"/>
    <col min="12040" max="12041" width="11.125" style="519" customWidth="1"/>
    <col min="12042" max="12042" width="10.75" style="519" customWidth="1"/>
    <col min="12043" max="12288" width="9" style="519"/>
    <col min="12289" max="12289" width="2.125" style="519" customWidth="1"/>
    <col min="12290" max="12290" width="14.625" style="519" customWidth="1"/>
    <col min="12291" max="12291" width="12.625" style="519" bestFit="1" customWidth="1"/>
    <col min="12292" max="12292" width="14.25" style="519" customWidth="1"/>
    <col min="12293" max="12293" width="20.25" style="519" customWidth="1"/>
    <col min="12294" max="12295" width="17.375" style="519" customWidth="1"/>
    <col min="12296" max="12297" width="11.125" style="519" customWidth="1"/>
    <col min="12298" max="12298" width="10.75" style="519" customWidth="1"/>
    <col min="12299" max="12544" width="9" style="519"/>
    <col min="12545" max="12545" width="2.125" style="519" customWidth="1"/>
    <col min="12546" max="12546" width="14.625" style="519" customWidth="1"/>
    <col min="12547" max="12547" width="12.625" style="519" bestFit="1" customWidth="1"/>
    <col min="12548" max="12548" width="14.25" style="519" customWidth="1"/>
    <col min="12549" max="12549" width="20.25" style="519" customWidth="1"/>
    <col min="12550" max="12551" width="17.375" style="519" customWidth="1"/>
    <col min="12552" max="12553" width="11.125" style="519" customWidth="1"/>
    <col min="12554" max="12554" width="10.75" style="519" customWidth="1"/>
    <col min="12555" max="12800" width="9" style="519"/>
    <col min="12801" max="12801" width="2.125" style="519" customWidth="1"/>
    <col min="12802" max="12802" width="14.625" style="519" customWidth="1"/>
    <col min="12803" max="12803" width="12.625" style="519" bestFit="1" customWidth="1"/>
    <col min="12804" max="12804" width="14.25" style="519" customWidth="1"/>
    <col min="12805" max="12805" width="20.25" style="519" customWidth="1"/>
    <col min="12806" max="12807" width="17.375" style="519" customWidth="1"/>
    <col min="12808" max="12809" width="11.125" style="519" customWidth="1"/>
    <col min="12810" max="12810" width="10.75" style="519" customWidth="1"/>
    <col min="12811" max="13056" width="9" style="519"/>
    <col min="13057" max="13057" width="2.125" style="519" customWidth="1"/>
    <col min="13058" max="13058" width="14.625" style="519" customWidth="1"/>
    <col min="13059" max="13059" width="12.625" style="519" bestFit="1" customWidth="1"/>
    <col min="13060" max="13060" width="14.25" style="519" customWidth="1"/>
    <col min="13061" max="13061" width="20.25" style="519" customWidth="1"/>
    <col min="13062" max="13063" width="17.375" style="519" customWidth="1"/>
    <col min="13064" max="13065" width="11.125" style="519" customWidth="1"/>
    <col min="13066" max="13066" width="10.75" style="519" customWidth="1"/>
    <col min="13067" max="13312" width="9" style="519"/>
    <col min="13313" max="13313" width="2.125" style="519" customWidth="1"/>
    <col min="13314" max="13314" width="14.625" style="519" customWidth="1"/>
    <col min="13315" max="13315" width="12.625" style="519" bestFit="1" customWidth="1"/>
    <col min="13316" max="13316" width="14.25" style="519" customWidth="1"/>
    <col min="13317" max="13317" width="20.25" style="519" customWidth="1"/>
    <col min="13318" max="13319" width="17.375" style="519" customWidth="1"/>
    <col min="13320" max="13321" width="11.125" style="519" customWidth="1"/>
    <col min="13322" max="13322" width="10.75" style="519" customWidth="1"/>
    <col min="13323" max="13568" width="9" style="519"/>
    <col min="13569" max="13569" width="2.125" style="519" customWidth="1"/>
    <col min="13570" max="13570" width="14.625" style="519" customWidth="1"/>
    <col min="13571" max="13571" width="12.625" style="519" bestFit="1" customWidth="1"/>
    <col min="13572" max="13572" width="14.25" style="519" customWidth="1"/>
    <col min="13573" max="13573" width="20.25" style="519" customWidth="1"/>
    <col min="13574" max="13575" width="17.375" style="519" customWidth="1"/>
    <col min="13576" max="13577" width="11.125" style="519" customWidth="1"/>
    <col min="13578" max="13578" width="10.75" style="519" customWidth="1"/>
    <col min="13579" max="13824" width="9" style="519"/>
    <col min="13825" max="13825" width="2.125" style="519" customWidth="1"/>
    <col min="13826" max="13826" width="14.625" style="519" customWidth="1"/>
    <col min="13827" max="13827" width="12.625" style="519" bestFit="1" customWidth="1"/>
    <col min="13828" max="13828" width="14.25" style="519" customWidth="1"/>
    <col min="13829" max="13829" width="20.25" style="519" customWidth="1"/>
    <col min="13830" max="13831" width="17.375" style="519" customWidth="1"/>
    <col min="13832" max="13833" width="11.125" style="519" customWidth="1"/>
    <col min="13834" max="13834" width="10.75" style="519" customWidth="1"/>
    <col min="13835" max="14080" width="9" style="519"/>
    <col min="14081" max="14081" width="2.125" style="519" customWidth="1"/>
    <col min="14082" max="14082" width="14.625" style="519" customWidth="1"/>
    <col min="14083" max="14083" width="12.625" style="519" bestFit="1" customWidth="1"/>
    <col min="14084" max="14084" width="14.25" style="519" customWidth="1"/>
    <col min="14085" max="14085" width="20.25" style="519" customWidth="1"/>
    <col min="14086" max="14087" width="17.375" style="519" customWidth="1"/>
    <col min="14088" max="14089" width="11.125" style="519" customWidth="1"/>
    <col min="14090" max="14090" width="10.75" style="519" customWidth="1"/>
    <col min="14091" max="14336" width="9" style="519"/>
    <col min="14337" max="14337" width="2.125" style="519" customWidth="1"/>
    <col min="14338" max="14338" width="14.625" style="519" customWidth="1"/>
    <col min="14339" max="14339" width="12.625" style="519" bestFit="1" customWidth="1"/>
    <col min="14340" max="14340" width="14.25" style="519" customWidth="1"/>
    <col min="14341" max="14341" width="20.25" style="519" customWidth="1"/>
    <col min="14342" max="14343" width="17.375" style="519" customWidth="1"/>
    <col min="14344" max="14345" width="11.125" style="519" customWidth="1"/>
    <col min="14346" max="14346" width="10.75" style="519" customWidth="1"/>
    <col min="14347" max="14592" width="9" style="519"/>
    <col min="14593" max="14593" width="2.125" style="519" customWidth="1"/>
    <col min="14594" max="14594" width="14.625" style="519" customWidth="1"/>
    <col min="14595" max="14595" width="12.625" style="519" bestFit="1" customWidth="1"/>
    <col min="14596" max="14596" width="14.25" style="519" customWidth="1"/>
    <col min="14597" max="14597" width="20.25" style="519" customWidth="1"/>
    <col min="14598" max="14599" width="17.375" style="519" customWidth="1"/>
    <col min="14600" max="14601" width="11.125" style="519" customWidth="1"/>
    <col min="14602" max="14602" width="10.75" style="519" customWidth="1"/>
    <col min="14603" max="14848" width="9" style="519"/>
    <col min="14849" max="14849" width="2.125" style="519" customWidth="1"/>
    <col min="14850" max="14850" width="14.625" style="519" customWidth="1"/>
    <col min="14851" max="14851" width="12.625" style="519" bestFit="1" customWidth="1"/>
    <col min="14852" max="14852" width="14.25" style="519" customWidth="1"/>
    <col min="14853" max="14853" width="20.25" style="519" customWidth="1"/>
    <col min="14854" max="14855" width="17.375" style="519" customWidth="1"/>
    <col min="14856" max="14857" width="11.125" style="519" customWidth="1"/>
    <col min="14858" max="14858" width="10.75" style="519" customWidth="1"/>
    <col min="14859" max="15104" width="9" style="519"/>
    <col min="15105" max="15105" width="2.125" style="519" customWidth="1"/>
    <col min="15106" max="15106" width="14.625" style="519" customWidth="1"/>
    <col min="15107" max="15107" width="12.625" style="519" bestFit="1" customWidth="1"/>
    <col min="15108" max="15108" width="14.25" style="519" customWidth="1"/>
    <col min="15109" max="15109" width="20.25" style="519" customWidth="1"/>
    <col min="15110" max="15111" width="17.375" style="519" customWidth="1"/>
    <col min="15112" max="15113" width="11.125" style="519" customWidth="1"/>
    <col min="15114" max="15114" width="10.75" style="519" customWidth="1"/>
    <col min="15115" max="15360" width="9" style="519"/>
    <col min="15361" max="15361" width="2.125" style="519" customWidth="1"/>
    <col min="15362" max="15362" width="14.625" style="519" customWidth="1"/>
    <col min="15363" max="15363" width="12.625" style="519" bestFit="1" customWidth="1"/>
    <col min="15364" max="15364" width="14.25" style="519" customWidth="1"/>
    <col min="15365" max="15365" width="20.25" style="519" customWidth="1"/>
    <col min="15366" max="15367" width="17.375" style="519" customWidth="1"/>
    <col min="15368" max="15369" width="11.125" style="519" customWidth="1"/>
    <col min="15370" max="15370" width="10.75" style="519" customWidth="1"/>
    <col min="15371" max="15616" width="9" style="519"/>
    <col min="15617" max="15617" width="2.125" style="519" customWidth="1"/>
    <col min="15618" max="15618" width="14.625" style="519" customWidth="1"/>
    <col min="15619" max="15619" width="12.625" style="519" bestFit="1" customWidth="1"/>
    <col min="15620" max="15620" width="14.25" style="519" customWidth="1"/>
    <col min="15621" max="15621" width="20.25" style="519" customWidth="1"/>
    <col min="15622" max="15623" width="17.375" style="519" customWidth="1"/>
    <col min="15624" max="15625" width="11.125" style="519" customWidth="1"/>
    <col min="15626" max="15626" width="10.75" style="519" customWidth="1"/>
    <col min="15627" max="15872" width="9" style="519"/>
    <col min="15873" max="15873" width="2.125" style="519" customWidth="1"/>
    <col min="15874" max="15874" width="14.625" style="519" customWidth="1"/>
    <col min="15875" max="15875" width="12.625" style="519" bestFit="1" customWidth="1"/>
    <col min="15876" max="15876" width="14.25" style="519" customWidth="1"/>
    <col min="15877" max="15877" width="20.25" style="519" customWidth="1"/>
    <col min="15878" max="15879" width="17.375" style="519" customWidth="1"/>
    <col min="15880" max="15881" width="11.125" style="519" customWidth="1"/>
    <col min="15882" max="15882" width="10.75" style="519" customWidth="1"/>
    <col min="15883" max="16128" width="9" style="519"/>
    <col min="16129" max="16129" width="2.125" style="519" customWidth="1"/>
    <col min="16130" max="16130" width="14.625" style="519" customWidth="1"/>
    <col min="16131" max="16131" width="12.625" style="519" bestFit="1" customWidth="1"/>
    <col min="16132" max="16132" width="14.25" style="519" customWidth="1"/>
    <col min="16133" max="16133" width="20.25" style="519" customWidth="1"/>
    <col min="16134" max="16135" width="17.375" style="519" customWidth="1"/>
    <col min="16136" max="16137" width="11.125" style="519" customWidth="1"/>
    <col min="16138" max="16138" width="10.75" style="519" customWidth="1"/>
    <col min="16139" max="16384" width="9" style="519"/>
  </cols>
  <sheetData>
    <row r="2" spans="2:10" ht="20.25">
      <c r="B2" s="802" t="s">
        <v>448</v>
      </c>
      <c r="C2" s="802"/>
      <c r="D2" s="802"/>
      <c r="E2" s="802"/>
      <c r="F2" s="802"/>
      <c r="G2" s="802"/>
      <c r="H2" s="802"/>
      <c r="I2" s="802"/>
      <c r="J2" s="802"/>
    </row>
    <row r="3" spans="2:10">
      <c r="B3" s="803" t="s">
        <v>449</v>
      </c>
      <c r="C3" s="803" t="s">
        <v>553</v>
      </c>
      <c r="D3" s="803" t="s">
        <v>450</v>
      </c>
      <c r="E3" s="803" t="s">
        <v>451</v>
      </c>
      <c r="F3" s="803" t="s">
        <v>452</v>
      </c>
      <c r="G3" s="803" t="s">
        <v>453</v>
      </c>
      <c r="H3" s="805" t="s">
        <v>454</v>
      </c>
      <c r="I3" s="806"/>
      <c r="J3" s="520" t="s">
        <v>455</v>
      </c>
    </row>
    <row r="4" spans="2:10">
      <c r="B4" s="804"/>
      <c r="C4" s="804"/>
      <c r="D4" s="804"/>
      <c r="E4" s="804"/>
      <c r="F4" s="804"/>
      <c r="G4" s="804"/>
      <c r="H4" s="521" t="s">
        <v>456</v>
      </c>
      <c r="I4" s="521" t="s">
        <v>457</v>
      </c>
      <c r="J4" s="520"/>
    </row>
    <row r="5" spans="2:10">
      <c r="B5" s="522" t="s">
        <v>458</v>
      </c>
      <c r="C5" s="523" t="s">
        <v>459</v>
      </c>
      <c r="D5" s="523"/>
      <c r="E5" s="523" t="s">
        <v>459</v>
      </c>
      <c r="F5" s="524">
        <v>6.2</v>
      </c>
      <c r="G5" s="525">
        <v>4.0000000000000001E-3</v>
      </c>
      <c r="H5" s="522">
        <v>0.1</v>
      </c>
      <c r="I5" s="526">
        <v>0.8</v>
      </c>
      <c r="J5" s="522">
        <f>H5*I5</f>
        <v>8.0000000000000016E-2</v>
      </c>
    </row>
    <row r="6" spans="2:10">
      <c r="B6" s="522"/>
      <c r="C6" s="523"/>
      <c r="D6" s="523"/>
      <c r="E6" s="523"/>
      <c r="F6" s="524"/>
      <c r="G6" s="525"/>
      <c r="H6" s="522"/>
      <c r="I6" s="526"/>
      <c r="J6" s="522"/>
    </row>
    <row r="7" spans="2:10">
      <c r="B7" s="522" t="s">
        <v>460</v>
      </c>
      <c r="C7" s="523" t="s">
        <v>459</v>
      </c>
      <c r="D7" s="523"/>
      <c r="E7" s="523" t="s">
        <v>459</v>
      </c>
      <c r="F7" s="524">
        <v>4.5</v>
      </c>
      <c r="G7" s="525">
        <v>8.0000000000000002E-3</v>
      </c>
      <c r="H7" s="522">
        <v>0.1</v>
      </c>
      <c r="I7" s="526">
        <v>0.8</v>
      </c>
      <c r="J7" s="522">
        <f>H7*I7</f>
        <v>8.0000000000000016E-2</v>
      </c>
    </row>
    <row r="8" spans="2:10">
      <c r="B8" s="522"/>
      <c r="C8" s="523"/>
      <c r="D8" s="523"/>
      <c r="E8" s="523"/>
      <c r="F8" s="524">
        <v>3.2</v>
      </c>
      <c r="G8" s="525">
        <v>3.0000000000000001E-3</v>
      </c>
      <c r="H8" s="522">
        <v>0.1</v>
      </c>
      <c r="I8" s="526">
        <v>0.5</v>
      </c>
      <c r="J8" s="522">
        <f>H8*I8</f>
        <v>0.05</v>
      </c>
    </row>
    <row r="9" spans="2:10">
      <c r="B9" s="522"/>
      <c r="C9" s="523"/>
      <c r="D9" s="523"/>
      <c r="E9" s="523"/>
      <c r="F9" s="524"/>
      <c r="G9" s="525"/>
      <c r="H9" s="522"/>
      <c r="I9" s="526"/>
      <c r="J9" s="522"/>
    </row>
    <row r="10" spans="2:10">
      <c r="B10" s="522"/>
      <c r="C10" s="523"/>
      <c r="D10" s="523"/>
      <c r="E10" s="523"/>
      <c r="F10" s="524"/>
      <c r="G10" s="525"/>
      <c r="H10" s="522"/>
      <c r="I10" s="526"/>
      <c r="J10" s="522"/>
    </row>
    <row r="11" spans="2:10">
      <c r="B11" s="522"/>
      <c r="C11" s="523"/>
      <c r="D11" s="523"/>
      <c r="E11" s="523"/>
      <c r="F11" s="524"/>
      <c r="G11" s="525"/>
      <c r="H11" s="522"/>
      <c r="I11" s="526"/>
      <c r="J11" s="522"/>
    </row>
    <row r="12" spans="2:10">
      <c r="B12" s="523"/>
      <c r="C12" s="523"/>
      <c r="D12" s="523"/>
      <c r="E12" s="523"/>
      <c r="F12" s="524"/>
      <c r="G12" s="525"/>
      <c r="H12" s="522"/>
      <c r="I12" s="526"/>
      <c r="J12" s="522"/>
    </row>
    <row r="13" spans="2:10">
      <c r="B13" s="799" t="s">
        <v>461</v>
      </c>
      <c r="C13" s="800"/>
      <c r="D13" s="801"/>
      <c r="E13" s="527"/>
      <c r="F13" s="528"/>
      <c r="G13" s="529"/>
      <c r="H13" s="527"/>
      <c r="I13" s="530"/>
      <c r="J13" s="522">
        <f>SUM(J5:J12)</f>
        <v>0.21000000000000002</v>
      </c>
    </row>
    <row r="14" spans="2:10">
      <c r="B14" s="531" t="s">
        <v>462</v>
      </c>
      <c r="C14" s="531"/>
    </row>
    <row r="15" spans="2:10">
      <c r="J15" s="532"/>
    </row>
  </sheetData>
  <mergeCells count="9">
    <mergeCell ref="B13:D13"/>
    <mergeCell ref="B2:J2"/>
    <mergeCell ref="B3:B4"/>
    <mergeCell ref="C3:C4"/>
    <mergeCell ref="D3:D4"/>
    <mergeCell ref="E3:E4"/>
    <mergeCell ref="F3:F4"/>
    <mergeCell ref="G3:G4"/>
    <mergeCell ref="H3:I3"/>
  </mergeCells>
  <phoneticPr fontId="8" type="noConversion"/>
  <pageMargins left="0.7" right="0.7" top="0.75" bottom="0.75" header="0.3" footer="0.3"/>
  <pageSetup paperSize="9" scale="9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9"/>
  <sheetViews>
    <sheetView zoomScale="85" zoomScaleNormal="85" workbookViewId="0">
      <selection activeCell="Q17" sqref="Q17"/>
    </sheetView>
  </sheetViews>
  <sheetFormatPr defaultRowHeight="16.5"/>
  <cols>
    <col min="1" max="1" width="2.25" style="533" customWidth="1"/>
    <col min="2" max="13" width="7.625" style="533" customWidth="1"/>
    <col min="14" max="14" width="7.75" style="533" customWidth="1"/>
    <col min="15" max="15" width="14.25" style="533" customWidth="1"/>
    <col min="16" max="16" width="11" style="533" bestFit="1" customWidth="1"/>
    <col min="17" max="17" width="9" style="533" bestFit="1" customWidth="1"/>
    <col min="18" max="18" width="10.625" style="533" customWidth="1"/>
    <col min="19" max="263" width="9" style="533"/>
    <col min="264" max="264" width="2.25" style="533" customWidth="1"/>
    <col min="265" max="268" width="8.5" style="533" bestFit="1" customWidth="1"/>
    <col min="269" max="270" width="8.5" style="533" customWidth="1"/>
    <col min="271" max="271" width="16.5" style="533" customWidth="1"/>
    <col min="272" max="272" width="25.375" style="533" customWidth="1"/>
    <col min="273" max="273" width="11.75" style="533" customWidth="1"/>
    <col min="274" max="274" width="9.25" style="533" bestFit="1" customWidth="1"/>
    <col min="275" max="519" width="9" style="533"/>
    <col min="520" max="520" width="2.25" style="533" customWidth="1"/>
    <col min="521" max="524" width="8.5" style="533" bestFit="1" customWidth="1"/>
    <col min="525" max="526" width="8.5" style="533" customWidth="1"/>
    <col min="527" max="527" width="16.5" style="533" customWidth="1"/>
    <col min="528" max="528" width="25.375" style="533" customWidth="1"/>
    <col min="529" max="529" width="11.75" style="533" customWidth="1"/>
    <col min="530" max="530" width="9.25" style="533" bestFit="1" customWidth="1"/>
    <col min="531" max="775" width="9" style="533"/>
    <col min="776" max="776" width="2.25" style="533" customWidth="1"/>
    <col min="777" max="780" width="8.5" style="533" bestFit="1" customWidth="1"/>
    <col min="781" max="782" width="8.5" style="533" customWidth="1"/>
    <col min="783" max="783" width="16.5" style="533" customWidth="1"/>
    <col min="784" max="784" width="25.375" style="533" customWidth="1"/>
    <col min="785" max="785" width="11.75" style="533" customWidth="1"/>
    <col min="786" max="786" width="9.25" style="533" bestFit="1" customWidth="1"/>
    <col min="787" max="1031" width="9" style="533"/>
    <col min="1032" max="1032" width="2.25" style="533" customWidth="1"/>
    <col min="1033" max="1036" width="8.5" style="533" bestFit="1" customWidth="1"/>
    <col min="1037" max="1038" width="8.5" style="533" customWidth="1"/>
    <col min="1039" max="1039" width="16.5" style="533" customWidth="1"/>
    <col min="1040" max="1040" width="25.375" style="533" customWidth="1"/>
    <col min="1041" max="1041" width="11.75" style="533" customWidth="1"/>
    <col min="1042" max="1042" width="9.25" style="533" bestFit="1" customWidth="1"/>
    <col min="1043" max="1287" width="9" style="533"/>
    <col min="1288" max="1288" width="2.25" style="533" customWidth="1"/>
    <col min="1289" max="1292" width="8.5" style="533" bestFit="1" customWidth="1"/>
    <col min="1293" max="1294" width="8.5" style="533" customWidth="1"/>
    <col min="1295" max="1295" width="16.5" style="533" customWidth="1"/>
    <col min="1296" max="1296" width="25.375" style="533" customWidth="1"/>
    <col min="1297" max="1297" width="11.75" style="533" customWidth="1"/>
    <col min="1298" max="1298" width="9.25" style="533" bestFit="1" customWidth="1"/>
    <col min="1299" max="1543" width="9" style="533"/>
    <col min="1544" max="1544" width="2.25" style="533" customWidth="1"/>
    <col min="1545" max="1548" width="8.5" style="533" bestFit="1" customWidth="1"/>
    <col min="1549" max="1550" width="8.5" style="533" customWidth="1"/>
    <col min="1551" max="1551" width="16.5" style="533" customWidth="1"/>
    <col min="1552" max="1552" width="25.375" style="533" customWidth="1"/>
    <col min="1553" max="1553" width="11.75" style="533" customWidth="1"/>
    <col min="1554" max="1554" width="9.25" style="533" bestFit="1" customWidth="1"/>
    <col min="1555" max="1799" width="9" style="533"/>
    <col min="1800" max="1800" width="2.25" style="533" customWidth="1"/>
    <col min="1801" max="1804" width="8.5" style="533" bestFit="1" customWidth="1"/>
    <col min="1805" max="1806" width="8.5" style="533" customWidth="1"/>
    <col min="1807" max="1807" width="16.5" style="533" customWidth="1"/>
    <col min="1808" max="1808" width="25.375" style="533" customWidth="1"/>
    <col min="1809" max="1809" width="11.75" style="533" customWidth="1"/>
    <col min="1810" max="1810" width="9.25" style="533" bestFit="1" customWidth="1"/>
    <col min="1811" max="2055" width="9" style="533"/>
    <col min="2056" max="2056" width="2.25" style="533" customWidth="1"/>
    <col min="2057" max="2060" width="8.5" style="533" bestFit="1" customWidth="1"/>
    <col min="2061" max="2062" width="8.5" style="533" customWidth="1"/>
    <col min="2063" max="2063" width="16.5" style="533" customWidth="1"/>
    <col min="2064" max="2064" width="25.375" style="533" customWidth="1"/>
    <col min="2065" max="2065" width="11.75" style="533" customWidth="1"/>
    <col min="2066" max="2066" width="9.25" style="533" bestFit="1" customWidth="1"/>
    <col min="2067" max="2311" width="9" style="533"/>
    <col min="2312" max="2312" width="2.25" style="533" customWidth="1"/>
    <col min="2313" max="2316" width="8.5" style="533" bestFit="1" customWidth="1"/>
    <col min="2317" max="2318" width="8.5" style="533" customWidth="1"/>
    <col min="2319" max="2319" width="16.5" style="533" customWidth="1"/>
    <col min="2320" max="2320" width="25.375" style="533" customWidth="1"/>
    <col min="2321" max="2321" width="11.75" style="533" customWidth="1"/>
    <col min="2322" max="2322" width="9.25" style="533" bestFit="1" customWidth="1"/>
    <col min="2323" max="2567" width="9" style="533"/>
    <col min="2568" max="2568" width="2.25" style="533" customWidth="1"/>
    <col min="2569" max="2572" width="8.5" style="533" bestFit="1" customWidth="1"/>
    <col min="2573" max="2574" width="8.5" style="533" customWidth="1"/>
    <col min="2575" max="2575" width="16.5" style="533" customWidth="1"/>
    <col min="2576" max="2576" width="25.375" style="533" customWidth="1"/>
    <col min="2577" max="2577" width="11.75" style="533" customWidth="1"/>
    <col min="2578" max="2578" width="9.25" style="533" bestFit="1" customWidth="1"/>
    <col min="2579" max="2823" width="9" style="533"/>
    <col min="2824" max="2824" width="2.25" style="533" customWidth="1"/>
    <col min="2825" max="2828" width="8.5" style="533" bestFit="1" customWidth="1"/>
    <col min="2829" max="2830" width="8.5" style="533" customWidth="1"/>
    <col min="2831" max="2831" width="16.5" style="533" customWidth="1"/>
    <col min="2832" max="2832" width="25.375" style="533" customWidth="1"/>
    <col min="2833" max="2833" width="11.75" style="533" customWidth="1"/>
    <col min="2834" max="2834" width="9.25" style="533" bestFit="1" customWidth="1"/>
    <col min="2835" max="3079" width="9" style="533"/>
    <col min="3080" max="3080" width="2.25" style="533" customWidth="1"/>
    <col min="3081" max="3084" width="8.5" style="533" bestFit="1" customWidth="1"/>
    <col min="3085" max="3086" width="8.5" style="533" customWidth="1"/>
    <col min="3087" max="3087" width="16.5" style="533" customWidth="1"/>
    <col min="3088" max="3088" width="25.375" style="533" customWidth="1"/>
    <col min="3089" max="3089" width="11.75" style="533" customWidth="1"/>
    <col min="3090" max="3090" width="9.25" style="533" bestFit="1" customWidth="1"/>
    <col min="3091" max="3335" width="9" style="533"/>
    <col min="3336" max="3336" width="2.25" style="533" customWidth="1"/>
    <col min="3337" max="3340" width="8.5" style="533" bestFit="1" customWidth="1"/>
    <col min="3341" max="3342" width="8.5" style="533" customWidth="1"/>
    <col min="3343" max="3343" width="16.5" style="533" customWidth="1"/>
    <col min="3344" max="3344" width="25.375" style="533" customWidth="1"/>
    <col min="3345" max="3345" width="11.75" style="533" customWidth="1"/>
    <col min="3346" max="3346" width="9.25" style="533" bestFit="1" customWidth="1"/>
    <col min="3347" max="3591" width="9" style="533"/>
    <col min="3592" max="3592" width="2.25" style="533" customWidth="1"/>
    <col min="3593" max="3596" width="8.5" style="533" bestFit="1" customWidth="1"/>
    <col min="3597" max="3598" width="8.5" style="533" customWidth="1"/>
    <col min="3599" max="3599" width="16.5" style="533" customWidth="1"/>
    <col min="3600" max="3600" width="25.375" style="533" customWidth="1"/>
    <col min="3601" max="3601" width="11.75" style="533" customWidth="1"/>
    <col min="3602" max="3602" width="9.25" style="533" bestFit="1" customWidth="1"/>
    <col min="3603" max="3847" width="9" style="533"/>
    <col min="3848" max="3848" width="2.25" style="533" customWidth="1"/>
    <col min="3849" max="3852" width="8.5" style="533" bestFit="1" customWidth="1"/>
    <col min="3853" max="3854" width="8.5" style="533" customWidth="1"/>
    <col min="3855" max="3855" width="16.5" style="533" customWidth="1"/>
    <col min="3856" max="3856" width="25.375" style="533" customWidth="1"/>
    <col min="3857" max="3857" width="11.75" style="533" customWidth="1"/>
    <col min="3858" max="3858" width="9.25" style="533" bestFit="1" customWidth="1"/>
    <col min="3859" max="4103" width="9" style="533"/>
    <col min="4104" max="4104" width="2.25" style="533" customWidth="1"/>
    <col min="4105" max="4108" width="8.5" style="533" bestFit="1" customWidth="1"/>
    <col min="4109" max="4110" width="8.5" style="533" customWidth="1"/>
    <col min="4111" max="4111" width="16.5" style="533" customWidth="1"/>
    <col min="4112" max="4112" width="25.375" style="533" customWidth="1"/>
    <col min="4113" max="4113" width="11.75" style="533" customWidth="1"/>
    <col min="4114" max="4114" width="9.25" style="533" bestFit="1" customWidth="1"/>
    <col min="4115" max="4359" width="9" style="533"/>
    <col min="4360" max="4360" width="2.25" style="533" customWidth="1"/>
    <col min="4361" max="4364" width="8.5" style="533" bestFit="1" customWidth="1"/>
    <col min="4365" max="4366" width="8.5" style="533" customWidth="1"/>
    <col min="4367" max="4367" width="16.5" style="533" customWidth="1"/>
    <col min="4368" max="4368" width="25.375" style="533" customWidth="1"/>
    <col min="4369" max="4369" width="11.75" style="533" customWidth="1"/>
    <col min="4370" max="4370" width="9.25" style="533" bestFit="1" customWidth="1"/>
    <col min="4371" max="4615" width="9" style="533"/>
    <col min="4616" max="4616" width="2.25" style="533" customWidth="1"/>
    <col min="4617" max="4620" width="8.5" style="533" bestFit="1" customWidth="1"/>
    <col min="4621" max="4622" width="8.5" style="533" customWidth="1"/>
    <col min="4623" max="4623" width="16.5" style="533" customWidth="1"/>
    <col min="4624" max="4624" width="25.375" style="533" customWidth="1"/>
    <col min="4625" max="4625" width="11.75" style="533" customWidth="1"/>
    <col min="4626" max="4626" width="9.25" style="533" bestFit="1" customWidth="1"/>
    <col min="4627" max="4871" width="9" style="533"/>
    <col min="4872" max="4872" width="2.25" style="533" customWidth="1"/>
    <col min="4873" max="4876" width="8.5" style="533" bestFit="1" customWidth="1"/>
    <col min="4877" max="4878" width="8.5" style="533" customWidth="1"/>
    <col min="4879" max="4879" width="16.5" style="533" customWidth="1"/>
    <col min="4880" max="4880" width="25.375" style="533" customWidth="1"/>
    <col min="4881" max="4881" width="11.75" style="533" customWidth="1"/>
    <col min="4882" max="4882" width="9.25" style="533" bestFit="1" customWidth="1"/>
    <col min="4883" max="5127" width="9" style="533"/>
    <col min="5128" max="5128" width="2.25" style="533" customWidth="1"/>
    <col min="5129" max="5132" width="8.5" style="533" bestFit="1" customWidth="1"/>
    <col min="5133" max="5134" width="8.5" style="533" customWidth="1"/>
    <col min="5135" max="5135" width="16.5" style="533" customWidth="1"/>
    <col min="5136" max="5136" width="25.375" style="533" customWidth="1"/>
    <col min="5137" max="5137" width="11.75" style="533" customWidth="1"/>
    <col min="5138" max="5138" width="9.25" style="533" bestFit="1" customWidth="1"/>
    <col min="5139" max="5383" width="9" style="533"/>
    <col min="5384" max="5384" width="2.25" style="533" customWidth="1"/>
    <col min="5385" max="5388" width="8.5" style="533" bestFit="1" customWidth="1"/>
    <col min="5389" max="5390" width="8.5" style="533" customWidth="1"/>
    <col min="5391" max="5391" width="16.5" style="533" customWidth="1"/>
    <col min="5392" max="5392" width="25.375" style="533" customWidth="1"/>
    <col min="5393" max="5393" width="11.75" style="533" customWidth="1"/>
    <col min="5394" max="5394" width="9.25" style="533" bestFit="1" customWidth="1"/>
    <col min="5395" max="5639" width="9" style="533"/>
    <col min="5640" max="5640" width="2.25" style="533" customWidth="1"/>
    <col min="5641" max="5644" width="8.5" style="533" bestFit="1" customWidth="1"/>
    <col min="5645" max="5646" width="8.5" style="533" customWidth="1"/>
    <col min="5647" max="5647" width="16.5" style="533" customWidth="1"/>
    <col min="5648" max="5648" width="25.375" style="533" customWidth="1"/>
    <col min="5649" max="5649" width="11.75" style="533" customWidth="1"/>
    <col min="5650" max="5650" width="9.25" style="533" bestFit="1" customWidth="1"/>
    <col min="5651" max="5895" width="9" style="533"/>
    <col min="5896" max="5896" width="2.25" style="533" customWidth="1"/>
    <col min="5897" max="5900" width="8.5" style="533" bestFit="1" customWidth="1"/>
    <col min="5901" max="5902" width="8.5" style="533" customWidth="1"/>
    <col min="5903" max="5903" width="16.5" style="533" customWidth="1"/>
    <col min="5904" max="5904" width="25.375" style="533" customWidth="1"/>
    <col min="5905" max="5905" width="11.75" style="533" customWidth="1"/>
    <col min="5906" max="5906" width="9.25" style="533" bestFit="1" customWidth="1"/>
    <col min="5907" max="6151" width="9" style="533"/>
    <col min="6152" max="6152" width="2.25" style="533" customWidth="1"/>
    <col min="6153" max="6156" width="8.5" style="533" bestFit="1" customWidth="1"/>
    <col min="6157" max="6158" width="8.5" style="533" customWidth="1"/>
    <col min="6159" max="6159" width="16.5" style="533" customWidth="1"/>
    <col min="6160" max="6160" width="25.375" style="533" customWidth="1"/>
    <col min="6161" max="6161" width="11.75" style="533" customWidth="1"/>
    <col min="6162" max="6162" width="9.25" style="533" bestFit="1" customWidth="1"/>
    <col min="6163" max="6407" width="9" style="533"/>
    <col min="6408" max="6408" width="2.25" style="533" customWidth="1"/>
    <col min="6409" max="6412" width="8.5" style="533" bestFit="1" customWidth="1"/>
    <col min="6413" max="6414" width="8.5" style="533" customWidth="1"/>
    <col min="6415" max="6415" width="16.5" style="533" customWidth="1"/>
    <col min="6416" max="6416" width="25.375" style="533" customWidth="1"/>
    <col min="6417" max="6417" width="11.75" style="533" customWidth="1"/>
    <col min="6418" max="6418" width="9.25" style="533" bestFit="1" customWidth="1"/>
    <col min="6419" max="6663" width="9" style="533"/>
    <col min="6664" max="6664" width="2.25" style="533" customWidth="1"/>
    <col min="6665" max="6668" width="8.5" style="533" bestFit="1" customWidth="1"/>
    <col min="6669" max="6670" width="8.5" style="533" customWidth="1"/>
    <col min="6671" max="6671" width="16.5" style="533" customWidth="1"/>
    <col min="6672" max="6672" width="25.375" style="533" customWidth="1"/>
    <col min="6673" max="6673" width="11.75" style="533" customWidth="1"/>
    <col min="6674" max="6674" width="9.25" style="533" bestFit="1" customWidth="1"/>
    <col min="6675" max="6919" width="9" style="533"/>
    <col min="6920" max="6920" width="2.25" style="533" customWidth="1"/>
    <col min="6921" max="6924" width="8.5" style="533" bestFit="1" customWidth="1"/>
    <col min="6925" max="6926" width="8.5" style="533" customWidth="1"/>
    <col min="6927" max="6927" width="16.5" style="533" customWidth="1"/>
    <col min="6928" max="6928" width="25.375" style="533" customWidth="1"/>
    <col min="6929" max="6929" width="11.75" style="533" customWidth="1"/>
    <col min="6930" max="6930" width="9.25" style="533" bestFit="1" customWidth="1"/>
    <col min="6931" max="7175" width="9" style="533"/>
    <col min="7176" max="7176" width="2.25" style="533" customWidth="1"/>
    <col min="7177" max="7180" width="8.5" style="533" bestFit="1" customWidth="1"/>
    <col min="7181" max="7182" width="8.5" style="533" customWidth="1"/>
    <col min="7183" max="7183" width="16.5" style="533" customWidth="1"/>
    <col min="7184" max="7184" width="25.375" style="533" customWidth="1"/>
    <col min="7185" max="7185" width="11.75" style="533" customWidth="1"/>
    <col min="7186" max="7186" width="9.25" style="533" bestFit="1" customWidth="1"/>
    <col min="7187" max="7431" width="9" style="533"/>
    <col min="7432" max="7432" width="2.25" style="533" customWidth="1"/>
    <col min="7433" max="7436" width="8.5" style="533" bestFit="1" customWidth="1"/>
    <col min="7437" max="7438" width="8.5" style="533" customWidth="1"/>
    <col min="7439" max="7439" width="16.5" style="533" customWidth="1"/>
    <col min="7440" max="7440" width="25.375" style="533" customWidth="1"/>
    <col min="7441" max="7441" width="11.75" style="533" customWidth="1"/>
    <col min="7442" max="7442" width="9.25" style="533" bestFit="1" customWidth="1"/>
    <col min="7443" max="7687" width="9" style="533"/>
    <col min="7688" max="7688" width="2.25" style="533" customWidth="1"/>
    <col min="7689" max="7692" width="8.5" style="533" bestFit="1" customWidth="1"/>
    <col min="7693" max="7694" width="8.5" style="533" customWidth="1"/>
    <col min="7695" max="7695" width="16.5" style="533" customWidth="1"/>
    <col min="7696" max="7696" width="25.375" style="533" customWidth="1"/>
    <col min="7697" max="7697" width="11.75" style="533" customWidth="1"/>
    <col min="7698" max="7698" width="9.25" style="533" bestFit="1" customWidth="1"/>
    <col min="7699" max="7943" width="9" style="533"/>
    <col min="7944" max="7944" width="2.25" style="533" customWidth="1"/>
    <col min="7945" max="7948" width="8.5" style="533" bestFit="1" customWidth="1"/>
    <col min="7949" max="7950" width="8.5" style="533" customWidth="1"/>
    <col min="7951" max="7951" width="16.5" style="533" customWidth="1"/>
    <col min="7952" max="7952" width="25.375" style="533" customWidth="1"/>
    <col min="7953" max="7953" width="11.75" style="533" customWidth="1"/>
    <col min="7954" max="7954" width="9.25" style="533" bestFit="1" customWidth="1"/>
    <col min="7955" max="8199" width="9" style="533"/>
    <col min="8200" max="8200" width="2.25" style="533" customWidth="1"/>
    <col min="8201" max="8204" width="8.5" style="533" bestFit="1" customWidth="1"/>
    <col min="8205" max="8206" width="8.5" style="533" customWidth="1"/>
    <col min="8207" max="8207" width="16.5" style="533" customWidth="1"/>
    <col min="8208" max="8208" width="25.375" style="533" customWidth="1"/>
    <col min="8209" max="8209" width="11.75" style="533" customWidth="1"/>
    <col min="8210" max="8210" width="9.25" style="533" bestFit="1" customWidth="1"/>
    <col min="8211" max="8455" width="9" style="533"/>
    <col min="8456" max="8456" width="2.25" style="533" customWidth="1"/>
    <col min="8457" max="8460" width="8.5" style="533" bestFit="1" customWidth="1"/>
    <col min="8461" max="8462" width="8.5" style="533" customWidth="1"/>
    <col min="8463" max="8463" width="16.5" style="533" customWidth="1"/>
    <col min="8464" max="8464" width="25.375" style="533" customWidth="1"/>
    <col min="8465" max="8465" width="11.75" style="533" customWidth="1"/>
    <col min="8466" max="8466" width="9.25" style="533" bestFit="1" customWidth="1"/>
    <col min="8467" max="8711" width="9" style="533"/>
    <col min="8712" max="8712" width="2.25" style="533" customWidth="1"/>
    <col min="8713" max="8716" width="8.5" style="533" bestFit="1" customWidth="1"/>
    <col min="8717" max="8718" width="8.5" style="533" customWidth="1"/>
    <col min="8719" max="8719" width="16.5" style="533" customWidth="1"/>
    <col min="8720" max="8720" width="25.375" style="533" customWidth="1"/>
    <col min="8721" max="8721" width="11.75" style="533" customWidth="1"/>
    <col min="8722" max="8722" width="9.25" style="533" bestFit="1" customWidth="1"/>
    <col min="8723" max="8967" width="9" style="533"/>
    <col min="8968" max="8968" width="2.25" style="533" customWidth="1"/>
    <col min="8969" max="8972" width="8.5" style="533" bestFit="1" customWidth="1"/>
    <col min="8973" max="8974" width="8.5" style="533" customWidth="1"/>
    <col min="8975" max="8975" width="16.5" style="533" customWidth="1"/>
    <col min="8976" max="8976" width="25.375" style="533" customWidth="1"/>
    <col min="8977" max="8977" width="11.75" style="533" customWidth="1"/>
    <col min="8978" max="8978" width="9.25" style="533" bestFit="1" customWidth="1"/>
    <col min="8979" max="9223" width="9" style="533"/>
    <col min="9224" max="9224" width="2.25" style="533" customWidth="1"/>
    <col min="9225" max="9228" width="8.5" style="533" bestFit="1" customWidth="1"/>
    <col min="9229" max="9230" width="8.5" style="533" customWidth="1"/>
    <col min="9231" max="9231" width="16.5" style="533" customWidth="1"/>
    <col min="9232" max="9232" width="25.375" style="533" customWidth="1"/>
    <col min="9233" max="9233" width="11.75" style="533" customWidth="1"/>
    <col min="9234" max="9234" width="9.25" style="533" bestFit="1" customWidth="1"/>
    <col min="9235" max="9479" width="9" style="533"/>
    <col min="9480" max="9480" width="2.25" style="533" customWidth="1"/>
    <col min="9481" max="9484" width="8.5" style="533" bestFit="1" customWidth="1"/>
    <col min="9485" max="9486" width="8.5" style="533" customWidth="1"/>
    <col min="9487" max="9487" width="16.5" style="533" customWidth="1"/>
    <col min="9488" max="9488" width="25.375" style="533" customWidth="1"/>
    <col min="9489" max="9489" width="11.75" style="533" customWidth="1"/>
    <col min="9490" max="9490" width="9.25" style="533" bestFit="1" customWidth="1"/>
    <col min="9491" max="9735" width="9" style="533"/>
    <col min="9736" max="9736" width="2.25" style="533" customWidth="1"/>
    <col min="9737" max="9740" width="8.5" style="533" bestFit="1" customWidth="1"/>
    <col min="9741" max="9742" width="8.5" style="533" customWidth="1"/>
    <col min="9743" max="9743" width="16.5" style="533" customWidth="1"/>
    <col min="9744" max="9744" width="25.375" style="533" customWidth="1"/>
    <col min="9745" max="9745" width="11.75" style="533" customWidth="1"/>
    <col min="9746" max="9746" width="9.25" style="533" bestFit="1" customWidth="1"/>
    <col min="9747" max="9991" width="9" style="533"/>
    <col min="9992" max="9992" width="2.25" style="533" customWidth="1"/>
    <col min="9993" max="9996" width="8.5" style="533" bestFit="1" customWidth="1"/>
    <col min="9997" max="9998" width="8.5" style="533" customWidth="1"/>
    <col min="9999" max="9999" width="16.5" style="533" customWidth="1"/>
    <col min="10000" max="10000" width="25.375" style="533" customWidth="1"/>
    <col min="10001" max="10001" width="11.75" style="533" customWidth="1"/>
    <col min="10002" max="10002" width="9.25" style="533" bestFit="1" customWidth="1"/>
    <col min="10003" max="10247" width="9" style="533"/>
    <col min="10248" max="10248" width="2.25" style="533" customWidth="1"/>
    <col min="10249" max="10252" width="8.5" style="533" bestFit="1" customWidth="1"/>
    <col min="10253" max="10254" width="8.5" style="533" customWidth="1"/>
    <col min="10255" max="10255" width="16.5" style="533" customWidth="1"/>
    <col min="10256" max="10256" width="25.375" style="533" customWidth="1"/>
    <col min="10257" max="10257" width="11.75" style="533" customWidth="1"/>
    <col min="10258" max="10258" width="9.25" style="533" bestFit="1" customWidth="1"/>
    <col min="10259" max="10503" width="9" style="533"/>
    <col min="10504" max="10504" width="2.25" style="533" customWidth="1"/>
    <col min="10505" max="10508" width="8.5" style="533" bestFit="1" customWidth="1"/>
    <col min="10509" max="10510" width="8.5" style="533" customWidth="1"/>
    <col min="10511" max="10511" width="16.5" style="533" customWidth="1"/>
    <col min="10512" max="10512" width="25.375" style="533" customWidth="1"/>
    <col min="10513" max="10513" width="11.75" style="533" customWidth="1"/>
    <col min="10514" max="10514" width="9.25" style="533" bestFit="1" customWidth="1"/>
    <col min="10515" max="10759" width="9" style="533"/>
    <col min="10760" max="10760" width="2.25" style="533" customWidth="1"/>
    <col min="10761" max="10764" width="8.5" style="533" bestFit="1" customWidth="1"/>
    <col min="10765" max="10766" width="8.5" style="533" customWidth="1"/>
    <col min="10767" max="10767" width="16.5" style="533" customWidth="1"/>
    <col min="10768" max="10768" width="25.375" style="533" customWidth="1"/>
    <col min="10769" max="10769" width="11.75" style="533" customWidth="1"/>
    <col min="10770" max="10770" width="9.25" style="533" bestFit="1" customWidth="1"/>
    <col min="10771" max="11015" width="9" style="533"/>
    <col min="11016" max="11016" width="2.25" style="533" customWidth="1"/>
    <col min="11017" max="11020" width="8.5" style="533" bestFit="1" customWidth="1"/>
    <col min="11021" max="11022" width="8.5" style="533" customWidth="1"/>
    <col min="11023" max="11023" width="16.5" style="533" customWidth="1"/>
    <col min="11024" max="11024" width="25.375" style="533" customWidth="1"/>
    <col min="11025" max="11025" width="11.75" style="533" customWidth="1"/>
    <col min="11026" max="11026" width="9.25" style="533" bestFit="1" customWidth="1"/>
    <col min="11027" max="11271" width="9" style="533"/>
    <col min="11272" max="11272" width="2.25" style="533" customWidth="1"/>
    <col min="11273" max="11276" width="8.5" style="533" bestFit="1" customWidth="1"/>
    <col min="11277" max="11278" width="8.5" style="533" customWidth="1"/>
    <col min="11279" max="11279" width="16.5" style="533" customWidth="1"/>
    <col min="11280" max="11280" width="25.375" style="533" customWidth="1"/>
    <col min="11281" max="11281" width="11.75" style="533" customWidth="1"/>
    <col min="11282" max="11282" width="9.25" style="533" bestFit="1" customWidth="1"/>
    <col min="11283" max="11527" width="9" style="533"/>
    <col min="11528" max="11528" width="2.25" style="533" customWidth="1"/>
    <col min="11529" max="11532" width="8.5" style="533" bestFit="1" customWidth="1"/>
    <col min="11533" max="11534" width="8.5" style="533" customWidth="1"/>
    <col min="11535" max="11535" width="16.5" style="533" customWidth="1"/>
    <col min="11536" max="11536" width="25.375" style="533" customWidth="1"/>
    <col min="11537" max="11537" width="11.75" style="533" customWidth="1"/>
    <col min="11538" max="11538" width="9.25" style="533" bestFit="1" customWidth="1"/>
    <col min="11539" max="11783" width="9" style="533"/>
    <col min="11784" max="11784" width="2.25" style="533" customWidth="1"/>
    <col min="11785" max="11788" width="8.5" style="533" bestFit="1" customWidth="1"/>
    <col min="11789" max="11790" width="8.5" style="533" customWidth="1"/>
    <col min="11791" max="11791" width="16.5" style="533" customWidth="1"/>
    <col min="11792" max="11792" width="25.375" style="533" customWidth="1"/>
    <col min="11793" max="11793" width="11.75" style="533" customWidth="1"/>
    <col min="11794" max="11794" width="9.25" style="533" bestFit="1" customWidth="1"/>
    <col min="11795" max="12039" width="9" style="533"/>
    <col min="12040" max="12040" width="2.25" style="533" customWidth="1"/>
    <col min="12041" max="12044" width="8.5" style="533" bestFit="1" customWidth="1"/>
    <col min="12045" max="12046" width="8.5" style="533" customWidth="1"/>
    <col min="12047" max="12047" width="16.5" style="533" customWidth="1"/>
    <col min="12048" max="12048" width="25.375" style="533" customWidth="1"/>
    <col min="12049" max="12049" width="11.75" style="533" customWidth="1"/>
    <col min="12050" max="12050" width="9.25" style="533" bestFit="1" customWidth="1"/>
    <col min="12051" max="12295" width="9" style="533"/>
    <col min="12296" max="12296" width="2.25" style="533" customWidth="1"/>
    <col min="12297" max="12300" width="8.5" style="533" bestFit="1" customWidth="1"/>
    <col min="12301" max="12302" width="8.5" style="533" customWidth="1"/>
    <col min="12303" max="12303" width="16.5" style="533" customWidth="1"/>
    <col min="12304" max="12304" width="25.375" style="533" customWidth="1"/>
    <col min="12305" max="12305" width="11.75" style="533" customWidth="1"/>
    <col min="12306" max="12306" width="9.25" style="533" bestFit="1" customWidth="1"/>
    <col min="12307" max="12551" width="9" style="533"/>
    <col min="12552" max="12552" width="2.25" style="533" customWidth="1"/>
    <col min="12553" max="12556" width="8.5" style="533" bestFit="1" customWidth="1"/>
    <col min="12557" max="12558" width="8.5" style="533" customWidth="1"/>
    <col min="12559" max="12559" width="16.5" style="533" customWidth="1"/>
    <col min="12560" max="12560" width="25.375" style="533" customWidth="1"/>
    <col min="12561" max="12561" width="11.75" style="533" customWidth="1"/>
    <col min="12562" max="12562" width="9.25" style="533" bestFit="1" customWidth="1"/>
    <col min="12563" max="12807" width="9" style="533"/>
    <col min="12808" max="12808" width="2.25" style="533" customWidth="1"/>
    <col min="12809" max="12812" width="8.5" style="533" bestFit="1" customWidth="1"/>
    <col min="12813" max="12814" width="8.5" style="533" customWidth="1"/>
    <col min="12815" max="12815" width="16.5" style="533" customWidth="1"/>
    <col min="12816" max="12816" width="25.375" style="533" customWidth="1"/>
    <col min="12817" max="12817" width="11.75" style="533" customWidth="1"/>
    <col min="12818" max="12818" width="9.25" style="533" bestFit="1" customWidth="1"/>
    <col min="12819" max="13063" width="9" style="533"/>
    <col min="13064" max="13064" width="2.25" style="533" customWidth="1"/>
    <col min="13065" max="13068" width="8.5" style="533" bestFit="1" customWidth="1"/>
    <col min="13069" max="13070" width="8.5" style="533" customWidth="1"/>
    <col min="13071" max="13071" width="16.5" style="533" customWidth="1"/>
    <col min="13072" max="13072" width="25.375" style="533" customWidth="1"/>
    <col min="13073" max="13073" width="11.75" style="533" customWidth="1"/>
    <col min="13074" max="13074" width="9.25" style="533" bestFit="1" customWidth="1"/>
    <col min="13075" max="13319" width="9" style="533"/>
    <col min="13320" max="13320" width="2.25" style="533" customWidth="1"/>
    <col min="13321" max="13324" width="8.5" style="533" bestFit="1" customWidth="1"/>
    <col min="13325" max="13326" width="8.5" style="533" customWidth="1"/>
    <col min="13327" max="13327" width="16.5" style="533" customWidth="1"/>
    <col min="13328" max="13328" width="25.375" style="533" customWidth="1"/>
    <col min="13329" max="13329" width="11.75" style="533" customWidth="1"/>
    <col min="13330" max="13330" width="9.25" style="533" bestFit="1" customWidth="1"/>
    <col min="13331" max="13575" width="9" style="533"/>
    <col min="13576" max="13576" width="2.25" style="533" customWidth="1"/>
    <col min="13577" max="13580" width="8.5" style="533" bestFit="1" customWidth="1"/>
    <col min="13581" max="13582" width="8.5" style="533" customWidth="1"/>
    <col min="13583" max="13583" width="16.5" style="533" customWidth="1"/>
    <col min="13584" max="13584" width="25.375" style="533" customWidth="1"/>
    <col min="13585" max="13585" width="11.75" style="533" customWidth="1"/>
    <col min="13586" max="13586" width="9.25" style="533" bestFit="1" customWidth="1"/>
    <col min="13587" max="13831" width="9" style="533"/>
    <col min="13832" max="13832" width="2.25" style="533" customWidth="1"/>
    <col min="13833" max="13836" width="8.5" style="533" bestFit="1" customWidth="1"/>
    <col min="13837" max="13838" width="8.5" style="533" customWidth="1"/>
    <col min="13839" max="13839" width="16.5" style="533" customWidth="1"/>
    <col min="13840" max="13840" width="25.375" style="533" customWidth="1"/>
    <col min="13841" max="13841" width="11.75" style="533" customWidth="1"/>
    <col min="13842" max="13842" width="9.25" style="533" bestFit="1" customWidth="1"/>
    <col min="13843" max="14087" width="9" style="533"/>
    <col min="14088" max="14088" width="2.25" style="533" customWidth="1"/>
    <col min="14089" max="14092" width="8.5" style="533" bestFit="1" customWidth="1"/>
    <col min="14093" max="14094" width="8.5" style="533" customWidth="1"/>
    <col min="14095" max="14095" width="16.5" style="533" customWidth="1"/>
    <col min="14096" max="14096" width="25.375" style="533" customWidth="1"/>
    <col min="14097" max="14097" width="11.75" style="533" customWidth="1"/>
    <col min="14098" max="14098" width="9.25" style="533" bestFit="1" customWidth="1"/>
    <col min="14099" max="14343" width="9" style="533"/>
    <col min="14344" max="14344" width="2.25" style="533" customWidth="1"/>
    <col min="14345" max="14348" width="8.5" style="533" bestFit="1" customWidth="1"/>
    <col min="14349" max="14350" width="8.5" style="533" customWidth="1"/>
    <col min="14351" max="14351" width="16.5" style="533" customWidth="1"/>
    <col min="14352" max="14352" width="25.375" style="533" customWidth="1"/>
    <col min="14353" max="14353" width="11.75" style="533" customWidth="1"/>
    <col min="14354" max="14354" width="9.25" style="533" bestFit="1" customWidth="1"/>
    <col min="14355" max="14599" width="9" style="533"/>
    <col min="14600" max="14600" width="2.25" style="533" customWidth="1"/>
    <col min="14601" max="14604" width="8.5" style="533" bestFit="1" customWidth="1"/>
    <col min="14605" max="14606" width="8.5" style="533" customWidth="1"/>
    <col min="14607" max="14607" width="16.5" style="533" customWidth="1"/>
    <col min="14608" max="14608" width="25.375" style="533" customWidth="1"/>
    <col min="14609" max="14609" width="11.75" style="533" customWidth="1"/>
    <col min="14610" max="14610" width="9.25" style="533" bestFit="1" customWidth="1"/>
    <col min="14611" max="14855" width="9" style="533"/>
    <col min="14856" max="14856" width="2.25" style="533" customWidth="1"/>
    <col min="14857" max="14860" width="8.5" style="533" bestFit="1" customWidth="1"/>
    <col min="14861" max="14862" width="8.5" style="533" customWidth="1"/>
    <col min="14863" max="14863" width="16.5" style="533" customWidth="1"/>
    <col min="14864" max="14864" width="25.375" style="533" customWidth="1"/>
    <col min="14865" max="14865" width="11.75" style="533" customWidth="1"/>
    <col min="14866" max="14866" width="9.25" style="533" bestFit="1" customWidth="1"/>
    <col min="14867" max="15111" width="9" style="533"/>
    <col min="15112" max="15112" width="2.25" style="533" customWidth="1"/>
    <col min="15113" max="15116" width="8.5" style="533" bestFit="1" customWidth="1"/>
    <col min="15117" max="15118" width="8.5" style="533" customWidth="1"/>
    <col min="15119" max="15119" width="16.5" style="533" customWidth="1"/>
    <col min="15120" max="15120" width="25.375" style="533" customWidth="1"/>
    <col min="15121" max="15121" width="11.75" style="533" customWidth="1"/>
    <col min="15122" max="15122" width="9.25" style="533" bestFit="1" customWidth="1"/>
    <col min="15123" max="15367" width="9" style="533"/>
    <col min="15368" max="15368" width="2.25" style="533" customWidth="1"/>
    <col min="15369" max="15372" width="8.5" style="533" bestFit="1" customWidth="1"/>
    <col min="15373" max="15374" width="8.5" style="533" customWidth="1"/>
    <col min="15375" max="15375" width="16.5" style="533" customWidth="1"/>
    <col min="15376" max="15376" width="25.375" style="533" customWidth="1"/>
    <col min="15377" max="15377" width="11.75" style="533" customWidth="1"/>
    <col min="15378" max="15378" width="9.25" style="533" bestFit="1" customWidth="1"/>
    <col min="15379" max="15623" width="9" style="533"/>
    <col min="15624" max="15624" width="2.25" style="533" customWidth="1"/>
    <col min="15625" max="15628" width="8.5" style="533" bestFit="1" customWidth="1"/>
    <col min="15629" max="15630" width="8.5" style="533" customWidth="1"/>
    <col min="15631" max="15631" width="16.5" style="533" customWidth="1"/>
    <col min="15632" max="15632" width="25.375" style="533" customWidth="1"/>
    <col min="15633" max="15633" width="11.75" style="533" customWidth="1"/>
    <col min="15634" max="15634" width="9.25" style="533" bestFit="1" customWidth="1"/>
    <col min="15635" max="15879" width="9" style="533"/>
    <col min="15880" max="15880" width="2.25" style="533" customWidth="1"/>
    <col min="15881" max="15884" width="8.5" style="533" bestFit="1" customWidth="1"/>
    <col min="15885" max="15886" width="8.5" style="533" customWidth="1"/>
    <col min="15887" max="15887" width="16.5" style="533" customWidth="1"/>
    <col min="15888" max="15888" width="25.375" style="533" customWidth="1"/>
    <col min="15889" max="15889" width="11.75" style="533" customWidth="1"/>
    <col min="15890" max="15890" width="9.25" style="533" bestFit="1" customWidth="1"/>
    <col min="15891" max="16135" width="9" style="533"/>
    <col min="16136" max="16136" width="2.25" style="533" customWidth="1"/>
    <col min="16137" max="16140" width="8.5" style="533" bestFit="1" customWidth="1"/>
    <col min="16141" max="16142" width="8.5" style="533" customWidth="1"/>
    <col min="16143" max="16143" width="16.5" style="533" customWidth="1"/>
    <col min="16144" max="16144" width="25.375" style="533" customWidth="1"/>
    <col min="16145" max="16145" width="11.75" style="533" customWidth="1"/>
    <col min="16146" max="16146" width="9.25" style="533" bestFit="1" customWidth="1"/>
    <col min="16147" max="16384" width="9" style="533"/>
  </cols>
  <sheetData>
    <row r="1" spans="1:18" ht="26.25">
      <c r="A1" s="821" t="s">
        <v>554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</row>
    <row r="2" spans="1:18" ht="23.25" customHeight="1">
      <c r="A2" s="534"/>
      <c r="B2" s="534"/>
      <c r="C2" s="534"/>
      <c r="D2" s="534"/>
      <c r="E2" s="534"/>
      <c r="F2" s="534"/>
      <c r="H2" s="534"/>
      <c r="I2" s="534"/>
      <c r="J2" s="534"/>
      <c r="K2" s="534"/>
      <c r="L2" s="534"/>
    </row>
    <row r="3" spans="1:18" ht="24.75" customHeight="1">
      <c r="A3" s="822"/>
      <c r="B3" s="818" t="s">
        <v>555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20"/>
      <c r="P3" s="823" t="s">
        <v>463</v>
      </c>
      <c r="Q3" s="825" t="s">
        <v>464</v>
      </c>
      <c r="R3" s="826" t="s">
        <v>455</v>
      </c>
    </row>
    <row r="4" spans="1:18" ht="29.25" customHeight="1">
      <c r="A4" s="822"/>
      <c r="B4" s="535" t="s">
        <v>465</v>
      </c>
      <c r="C4" s="535" t="s">
        <v>466</v>
      </c>
      <c r="D4" s="535" t="s">
        <v>467</v>
      </c>
      <c r="E4" s="535" t="s">
        <v>468</v>
      </c>
      <c r="F4" s="535" t="s">
        <v>469</v>
      </c>
      <c r="G4" s="535" t="s">
        <v>470</v>
      </c>
      <c r="H4" s="535" t="s">
        <v>471</v>
      </c>
      <c r="I4" s="535" t="s">
        <v>472</v>
      </c>
      <c r="J4" s="535" t="s">
        <v>473</v>
      </c>
      <c r="K4" s="535" t="s">
        <v>474</v>
      </c>
      <c r="L4" s="535" t="s">
        <v>475</v>
      </c>
      <c r="M4" s="535" t="s">
        <v>476</v>
      </c>
      <c r="N4" s="827" t="s">
        <v>477</v>
      </c>
      <c r="O4" s="828"/>
      <c r="P4" s="824"/>
      <c r="Q4" s="826"/>
      <c r="R4" s="826"/>
    </row>
    <row r="5" spans="1:18" ht="44.25" customHeight="1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807">
        <f>SUM(B5:M5)</f>
        <v>0</v>
      </c>
      <c r="O5" s="808"/>
      <c r="P5" s="809" t="e">
        <f>N5/O8</f>
        <v>#DIV/0!</v>
      </c>
      <c r="Q5" s="812" t="e">
        <f>ROUNDDOWN(P5,2)</f>
        <v>#DIV/0!</v>
      </c>
      <c r="R5" s="815" t="e">
        <f>IF(Q5=1%,0.1,IF(Q5=2%,0.2,IF(Q5&gt;3%,0.3)))</f>
        <v>#DIV/0!</v>
      </c>
    </row>
    <row r="6" spans="1:18" ht="24.95" customHeight="1">
      <c r="A6" s="536"/>
      <c r="B6" s="818" t="s">
        <v>478</v>
      </c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20"/>
      <c r="P6" s="810"/>
      <c r="Q6" s="813"/>
      <c r="R6" s="816"/>
    </row>
    <row r="7" spans="1:18" ht="24.95" customHeight="1">
      <c r="A7" s="536"/>
      <c r="B7" s="535" t="s">
        <v>465</v>
      </c>
      <c r="C7" s="535" t="s">
        <v>466</v>
      </c>
      <c r="D7" s="535" t="s">
        <v>467</v>
      </c>
      <c r="E7" s="535" t="s">
        <v>468</v>
      </c>
      <c r="F7" s="535" t="s">
        <v>469</v>
      </c>
      <c r="G7" s="535" t="s">
        <v>470</v>
      </c>
      <c r="H7" s="535" t="s">
        <v>471</v>
      </c>
      <c r="I7" s="535" t="s">
        <v>472</v>
      </c>
      <c r="J7" s="535" t="s">
        <v>473</v>
      </c>
      <c r="K7" s="535" t="s">
        <v>474</v>
      </c>
      <c r="L7" s="535" t="s">
        <v>475</v>
      </c>
      <c r="M7" s="535" t="s">
        <v>476</v>
      </c>
      <c r="N7" s="535" t="s">
        <v>479</v>
      </c>
      <c r="O7" s="535" t="s">
        <v>480</v>
      </c>
      <c r="P7" s="810"/>
      <c r="Q7" s="813"/>
      <c r="R7" s="816"/>
    </row>
    <row r="8" spans="1:18" ht="60.75" customHeight="1">
      <c r="A8" s="536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8">
        <f>SUM(B8:M8)</f>
        <v>0</v>
      </c>
      <c r="O8" s="538">
        <f>N8/12</f>
        <v>0</v>
      </c>
      <c r="P8" s="811"/>
      <c r="Q8" s="814"/>
      <c r="R8" s="817"/>
    </row>
    <row r="9" spans="1:18" ht="8.25" customHeight="1">
      <c r="A9" s="539"/>
    </row>
    <row r="10" spans="1:18">
      <c r="B10" s="540" t="s">
        <v>556</v>
      </c>
    </row>
    <row r="11" spans="1:18">
      <c r="B11" s="541" t="s">
        <v>557</v>
      </c>
    </row>
    <row r="12" spans="1:18">
      <c r="B12" s="541" t="s">
        <v>558</v>
      </c>
    </row>
    <row r="13" spans="1:18">
      <c r="B13" s="541" t="s">
        <v>481</v>
      </c>
    </row>
    <row r="15" spans="1:18">
      <c r="B15" s="542" t="s">
        <v>482</v>
      </c>
      <c r="C15" s="542" t="s">
        <v>559</v>
      </c>
      <c r="H15" s="542"/>
      <c r="I15" s="542"/>
    </row>
    <row r="16" spans="1:18">
      <c r="C16" s="542" t="s">
        <v>567</v>
      </c>
      <c r="I16" s="542"/>
    </row>
    <row r="17" spans="2:9">
      <c r="C17" s="542"/>
      <c r="I17" s="542"/>
    </row>
    <row r="26" spans="2:9">
      <c r="B26" s="540"/>
    </row>
    <row r="27" spans="2:9">
      <c r="B27" s="541"/>
    </row>
    <row r="28" spans="2:9">
      <c r="B28" s="541"/>
    </row>
    <row r="29" spans="2:9">
      <c r="B29" s="541"/>
    </row>
  </sheetData>
  <mergeCells count="12">
    <mergeCell ref="A1:R1"/>
    <mergeCell ref="A3:A4"/>
    <mergeCell ref="B3:O3"/>
    <mergeCell ref="P3:P4"/>
    <mergeCell ref="Q3:Q4"/>
    <mergeCell ref="R3:R4"/>
    <mergeCell ref="N4:O4"/>
    <mergeCell ref="N5:O5"/>
    <mergeCell ref="P5:P8"/>
    <mergeCell ref="Q5:Q8"/>
    <mergeCell ref="R5:R8"/>
    <mergeCell ref="B6:O6"/>
  </mergeCells>
  <phoneticPr fontId="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view="pageBreakPreview" zoomScaleSheetLayoutView="100" workbookViewId="0">
      <selection sqref="A1:E1"/>
    </sheetView>
  </sheetViews>
  <sheetFormatPr defaultRowHeight="16.5"/>
  <cols>
    <col min="1" max="1" width="25.125" style="543" customWidth="1"/>
    <col min="2" max="2" width="17.375" style="543" customWidth="1"/>
    <col min="3" max="3" width="23.125" style="543" customWidth="1"/>
    <col min="4" max="4" width="20.875" style="543" customWidth="1"/>
    <col min="5" max="5" width="14.25" style="543" customWidth="1"/>
    <col min="6" max="256" width="9" style="543"/>
    <col min="257" max="257" width="21.375" style="543" customWidth="1"/>
    <col min="258" max="258" width="14.25" style="543" customWidth="1"/>
    <col min="259" max="259" width="17.375" style="543" customWidth="1"/>
    <col min="260" max="260" width="16.25" style="543" customWidth="1"/>
    <col min="261" max="261" width="14.25" style="543" customWidth="1"/>
    <col min="262" max="512" width="9" style="543"/>
    <col min="513" max="513" width="21.375" style="543" customWidth="1"/>
    <col min="514" max="514" width="14.25" style="543" customWidth="1"/>
    <col min="515" max="515" width="17.375" style="543" customWidth="1"/>
    <col min="516" max="516" width="16.25" style="543" customWidth="1"/>
    <col min="517" max="517" width="14.25" style="543" customWidth="1"/>
    <col min="518" max="768" width="9" style="543"/>
    <col min="769" max="769" width="21.375" style="543" customWidth="1"/>
    <col min="770" max="770" width="14.25" style="543" customWidth="1"/>
    <col min="771" max="771" width="17.375" style="543" customWidth="1"/>
    <col min="772" max="772" width="16.25" style="543" customWidth="1"/>
    <col min="773" max="773" width="14.25" style="543" customWidth="1"/>
    <col min="774" max="1024" width="9" style="543"/>
    <col min="1025" max="1025" width="21.375" style="543" customWidth="1"/>
    <col min="1026" max="1026" width="14.25" style="543" customWidth="1"/>
    <col min="1027" max="1027" width="17.375" style="543" customWidth="1"/>
    <col min="1028" max="1028" width="16.25" style="543" customWidth="1"/>
    <col min="1029" max="1029" width="14.25" style="543" customWidth="1"/>
    <col min="1030" max="1280" width="9" style="543"/>
    <col min="1281" max="1281" width="21.375" style="543" customWidth="1"/>
    <col min="1282" max="1282" width="14.25" style="543" customWidth="1"/>
    <col min="1283" max="1283" width="17.375" style="543" customWidth="1"/>
    <col min="1284" max="1284" width="16.25" style="543" customWidth="1"/>
    <col min="1285" max="1285" width="14.25" style="543" customWidth="1"/>
    <col min="1286" max="1536" width="9" style="543"/>
    <col min="1537" max="1537" width="21.375" style="543" customWidth="1"/>
    <col min="1538" max="1538" width="14.25" style="543" customWidth="1"/>
    <col min="1539" max="1539" width="17.375" style="543" customWidth="1"/>
    <col min="1540" max="1540" width="16.25" style="543" customWidth="1"/>
    <col min="1541" max="1541" width="14.25" style="543" customWidth="1"/>
    <col min="1542" max="1792" width="9" style="543"/>
    <col min="1793" max="1793" width="21.375" style="543" customWidth="1"/>
    <col min="1794" max="1794" width="14.25" style="543" customWidth="1"/>
    <col min="1795" max="1795" width="17.375" style="543" customWidth="1"/>
    <col min="1796" max="1796" width="16.25" style="543" customWidth="1"/>
    <col min="1797" max="1797" width="14.25" style="543" customWidth="1"/>
    <col min="1798" max="2048" width="9" style="543"/>
    <col min="2049" max="2049" width="21.375" style="543" customWidth="1"/>
    <col min="2050" max="2050" width="14.25" style="543" customWidth="1"/>
    <col min="2051" max="2051" width="17.375" style="543" customWidth="1"/>
    <col min="2052" max="2052" width="16.25" style="543" customWidth="1"/>
    <col min="2053" max="2053" width="14.25" style="543" customWidth="1"/>
    <col min="2054" max="2304" width="9" style="543"/>
    <col min="2305" max="2305" width="21.375" style="543" customWidth="1"/>
    <col min="2306" max="2306" width="14.25" style="543" customWidth="1"/>
    <col min="2307" max="2307" width="17.375" style="543" customWidth="1"/>
    <col min="2308" max="2308" width="16.25" style="543" customWidth="1"/>
    <col min="2309" max="2309" width="14.25" style="543" customWidth="1"/>
    <col min="2310" max="2560" width="9" style="543"/>
    <col min="2561" max="2561" width="21.375" style="543" customWidth="1"/>
    <col min="2562" max="2562" width="14.25" style="543" customWidth="1"/>
    <col min="2563" max="2563" width="17.375" style="543" customWidth="1"/>
    <col min="2564" max="2564" width="16.25" style="543" customWidth="1"/>
    <col min="2565" max="2565" width="14.25" style="543" customWidth="1"/>
    <col min="2566" max="2816" width="9" style="543"/>
    <col min="2817" max="2817" width="21.375" style="543" customWidth="1"/>
    <col min="2818" max="2818" width="14.25" style="543" customWidth="1"/>
    <col min="2819" max="2819" width="17.375" style="543" customWidth="1"/>
    <col min="2820" max="2820" width="16.25" style="543" customWidth="1"/>
    <col min="2821" max="2821" width="14.25" style="543" customWidth="1"/>
    <col min="2822" max="3072" width="9" style="543"/>
    <col min="3073" max="3073" width="21.375" style="543" customWidth="1"/>
    <col min="3074" max="3074" width="14.25" style="543" customWidth="1"/>
    <col min="3075" max="3075" width="17.375" style="543" customWidth="1"/>
    <col min="3076" max="3076" width="16.25" style="543" customWidth="1"/>
    <col min="3077" max="3077" width="14.25" style="543" customWidth="1"/>
    <col min="3078" max="3328" width="9" style="543"/>
    <col min="3329" max="3329" width="21.375" style="543" customWidth="1"/>
    <col min="3330" max="3330" width="14.25" style="543" customWidth="1"/>
    <col min="3331" max="3331" width="17.375" style="543" customWidth="1"/>
    <col min="3332" max="3332" width="16.25" style="543" customWidth="1"/>
    <col min="3333" max="3333" width="14.25" style="543" customWidth="1"/>
    <col min="3334" max="3584" width="9" style="543"/>
    <col min="3585" max="3585" width="21.375" style="543" customWidth="1"/>
    <col min="3586" max="3586" width="14.25" style="543" customWidth="1"/>
    <col min="3587" max="3587" width="17.375" style="543" customWidth="1"/>
    <col min="3588" max="3588" width="16.25" style="543" customWidth="1"/>
    <col min="3589" max="3589" width="14.25" style="543" customWidth="1"/>
    <col min="3590" max="3840" width="9" style="543"/>
    <col min="3841" max="3841" width="21.375" style="543" customWidth="1"/>
    <col min="3842" max="3842" width="14.25" style="543" customWidth="1"/>
    <col min="3843" max="3843" width="17.375" style="543" customWidth="1"/>
    <col min="3844" max="3844" width="16.25" style="543" customWidth="1"/>
    <col min="3845" max="3845" width="14.25" style="543" customWidth="1"/>
    <col min="3846" max="4096" width="9" style="543"/>
    <col min="4097" max="4097" width="21.375" style="543" customWidth="1"/>
    <col min="4098" max="4098" width="14.25" style="543" customWidth="1"/>
    <col min="4099" max="4099" width="17.375" style="543" customWidth="1"/>
    <col min="4100" max="4100" width="16.25" style="543" customWidth="1"/>
    <col min="4101" max="4101" width="14.25" style="543" customWidth="1"/>
    <col min="4102" max="4352" width="9" style="543"/>
    <col min="4353" max="4353" width="21.375" style="543" customWidth="1"/>
    <col min="4354" max="4354" width="14.25" style="543" customWidth="1"/>
    <col min="4355" max="4355" width="17.375" style="543" customWidth="1"/>
    <col min="4356" max="4356" width="16.25" style="543" customWidth="1"/>
    <col min="4357" max="4357" width="14.25" style="543" customWidth="1"/>
    <col min="4358" max="4608" width="9" style="543"/>
    <col min="4609" max="4609" width="21.375" style="543" customWidth="1"/>
    <col min="4610" max="4610" width="14.25" style="543" customWidth="1"/>
    <col min="4611" max="4611" width="17.375" style="543" customWidth="1"/>
    <col min="4612" max="4612" width="16.25" style="543" customWidth="1"/>
    <col min="4613" max="4613" width="14.25" style="543" customWidth="1"/>
    <col min="4614" max="4864" width="9" style="543"/>
    <col min="4865" max="4865" width="21.375" style="543" customWidth="1"/>
    <col min="4866" max="4866" width="14.25" style="543" customWidth="1"/>
    <col min="4867" max="4867" width="17.375" style="543" customWidth="1"/>
    <col min="4868" max="4868" width="16.25" style="543" customWidth="1"/>
    <col min="4869" max="4869" width="14.25" style="543" customWidth="1"/>
    <col min="4870" max="5120" width="9" style="543"/>
    <col min="5121" max="5121" width="21.375" style="543" customWidth="1"/>
    <col min="5122" max="5122" width="14.25" style="543" customWidth="1"/>
    <col min="5123" max="5123" width="17.375" style="543" customWidth="1"/>
    <col min="5124" max="5124" width="16.25" style="543" customWidth="1"/>
    <col min="5125" max="5125" width="14.25" style="543" customWidth="1"/>
    <col min="5126" max="5376" width="9" style="543"/>
    <col min="5377" max="5377" width="21.375" style="543" customWidth="1"/>
    <col min="5378" max="5378" width="14.25" style="543" customWidth="1"/>
    <col min="5379" max="5379" width="17.375" style="543" customWidth="1"/>
    <col min="5380" max="5380" width="16.25" style="543" customWidth="1"/>
    <col min="5381" max="5381" width="14.25" style="543" customWidth="1"/>
    <col min="5382" max="5632" width="9" style="543"/>
    <col min="5633" max="5633" width="21.375" style="543" customWidth="1"/>
    <col min="5634" max="5634" width="14.25" style="543" customWidth="1"/>
    <col min="5635" max="5635" width="17.375" style="543" customWidth="1"/>
    <col min="5636" max="5636" width="16.25" style="543" customWidth="1"/>
    <col min="5637" max="5637" width="14.25" style="543" customWidth="1"/>
    <col min="5638" max="5888" width="9" style="543"/>
    <col min="5889" max="5889" width="21.375" style="543" customWidth="1"/>
    <col min="5890" max="5890" width="14.25" style="543" customWidth="1"/>
    <col min="5891" max="5891" width="17.375" style="543" customWidth="1"/>
    <col min="5892" max="5892" width="16.25" style="543" customWidth="1"/>
    <col min="5893" max="5893" width="14.25" style="543" customWidth="1"/>
    <col min="5894" max="6144" width="9" style="543"/>
    <col min="6145" max="6145" width="21.375" style="543" customWidth="1"/>
    <col min="6146" max="6146" width="14.25" style="543" customWidth="1"/>
    <col min="6147" max="6147" width="17.375" style="543" customWidth="1"/>
    <col min="6148" max="6148" width="16.25" style="543" customWidth="1"/>
    <col min="6149" max="6149" width="14.25" style="543" customWidth="1"/>
    <col min="6150" max="6400" width="9" style="543"/>
    <col min="6401" max="6401" width="21.375" style="543" customWidth="1"/>
    <col min="6402" max="6402" width="14.25" style="543" customWidth="1"/>
    <col min="6403" max="6403" width="17.375" style="543" customWidth="1"/>
    <col min="6404" max="6404" width="16.25" style="543" customWidth="1"/>
    <col min="6405" max="6405" width="14.25" style="543" customWidth="1"/>
    <col min="6406" max="6656" width="9" style="543"/>
    <col min="6657" max="6657" width="21.375" style="543" customWidth="1"/>
    <col min="6658" max="6658" width="14.25" style="543" customWidth="1"/>
    <col min="6659" max="6659" width="17.375" style="543" customWidth="1"/>
    <col min="6660" max="6660" width="16.25" style="543" customWidth="1"/>
    <col min="6661" max="6661" width="14.25" style="543" customWidth="1"/>
    <col min="6662" max="6912" width="9" style="543"/>
    <col min="6913" max="6913" width="21.375" style="543" customWidth="1"/>
    <col min="6914" max="6914" width="14.25" style="543" customWidth="1"/>
    <col min="6915" max="6915" width="17.375" style="543" customWidth="1"/>
    <col min="6916" max="6916" width="16.25" style="543" customWidth="1"/>
    <col min="6917" max="6917" width="14.25" style="543" customWidth="1"/>
    <col min="6918" max="7168" width="9" style="543"/>
    <col min="7169" max="7169" width="21.375" style="543" customWidth="1"/>
    <col min="7170" max="7170" width="14.25" style="543" customWidth="1"/>
    <col min="7171" max="7171" width="17.375" style="543" customWidth="1"/>
    <col min="7172" max="7172" width="16.25" style="543" customWidth="1"/>
    <col min="7173" max="7173" width="14.25" style="543" customWidth="1"/>
    <col min="7174" max="7424" width="9" style="543"/>
    <col min="7425" max="7425" width="21.375" style="543" customWidth="1"/>
    <col min="7426" max="7426" width="14.25" style="543" customWidth="1"/>
    <col min="7427" max="7427" width="17.375" style="543" customWidth="1"/>
    <col min="7428" max="7428" width="16.25" style="543" customWidth="1"/>
    <col min="7429" max="7429" width="14.25" style="543" customWidth="1"/>
    <col min="7430" max="7680" width="9" style="543"/>
    <col min="7681" max="7681" width="21.375" style="543" customWidth="1"/>
    <col min="7682" max="7682" width="14.25" style="543" customWidth="1"/>
    <col min="7683" max="7683" width="17.375" style="543" customWidth="1"/>
    <col min="7684" max="7684" width="16.25" style="543" customWidth="1"/>
    <col min="7685" max="7685" width="14.25" style="543" customWidth="1"/>
    <col min="7686" max="7936" width="9" style="543"/>
    <col min="7937" max="7937" width="21.375" style="543" customWidth="1"/>
    <col min="7938" max="7938" width="14.25" style="543" customWidth="1"/>
    <col min="7939" max="7939" width="17.375" style="543" customWidth="1"/>
    <col min="7940" max="7940" width="16.25" style="543" customWidth="1"/>
    <col min="7941" max="7941" width="14.25" style="543" customWidth="1"/>
    <col min="7942" max="8192" width="9" style="543"/>
    <col min="8193" max="8193" width="21.375" style="543" customWidth="1"/>
    <col min="8194" max="8194" width="14.25" style="543" customWidth="1"/>
    <col min="8195" max="8195" width="17.375" style="543" customWidth="1"/>
    <col min="8196" max="8196" width="16.25" style="543" customWidth="1"/>
    <col min="8197" max="8197" width="14.25" style="543" customWidth="1"/>
    <col min="8198" max="8448" width="9" style="543"/>
    <col min="8449" max="8449" width="21.375" style="543" customWidth="1"/>
    <col min="8450" max="8450" width="14.25" style="543" customWidth="1"/>
    <col min="8451" max="8451" width="17.375" style="543" customWidth="1"/>
    <col min="8452" max="8452" width="16.25" style="543" customWidth="1"/>
    <col min="8453" max="8453" width="14.25" style="543" customWidth="1"/>
    <col min="8454" max="8704" width="9" style="543"/>
    <col min="8705" max="8705" width="21.375" style="543" customWidth="1"/>
    <col min="8706" max="8706" width="14.25" style="543" customWidth="1"/>
    <col min="8707" max="8707" width="17.375" style="543" customWidth="1"/>
    <col min="8708" max="8708" width="16.25" style="543" customWidth="1"/>
    <col min="8709" max="8709" width="14.25" style="543" customWidth="1"/>
    <col min="8710" max="8960" width="9" style="543"/>
    <col min="8961" max="8961" width="21.375" style="543" customWidth="1"/>
    <col min="8962" max="8962" width="14.25" style="543" customWidth="1"/>
    <col min="8963" max="8963" width="17.375" style="543" customWidth="1"/>
    <col min="8964" max="8964" width="16.25" style="543" customWidth="1"/>
    <col min="8965" max="8965" width="14.25" style="543" customWidth="1"/>
    <col min="8966" max="9216" width="9" style="543"/>
    <col min="9217" max="9217" width="21.375" style="543" customWidth="1"/>
    <col min="9218" max="9218" width="14.25" style="543" customWidth="1"/>
    <col min="9219" max="9219" width="17.375" style="543" customWidth="1"/>
    <col min="9220" max="9220" width="16.25" style="543" customWidth="1"/>
    <col min="9221" max="9221" width="14.25" style="543" customWidth="1"/>
    <col min="9222" max="9472" width="9" style="543"/>
    <col min="9473" max="9473" width="21.375" style="543" customWidth="1"/>
    <col min="9474" max="9474" width="14.25" style="543" customWidth="1"/>
    <col min="9475" max="9475" width="17.375" style="543" customWidth="1"/>
    <col min="9476" max="9476" width="16.25" style="543" customWidth="1"/>
    <col min="9477" max="9477" width="14.25" style="543" customWidth="1"/>
    <col min="9478" max="9728" width="9" style="543"/>
    <col min="9729" max="9729" width="21.375" style="543" customWidth="1"/>
    <col min="9730" max="9730" width="14.25" style="543" customWidth="1"/>
    <col min="9731" max="9731" width="17.375" style="543" customWidth="1"/>
    <col min="9732" max="9732" width="16.25" style="543" customWidth="1"/>
    <col min="9733" max="9733" width="14.25" style="543" customWidth="1"/>
    <col min="9734" max="9984" width="9" style="543"/>
    <col min="9985" max="9985" width="21.375" style="543" customWidth="1"/>
    <col min="9986" max="9986" width="14.25" style="543" customWidth="1"/>
    <col min="9987" max="9987" width="17.375" style="543" customWidth="1"/>
    <col min="9988" max="9988" width="16.25" style="543" customWidth="1"/>
    <col min="9989" max="9989" width="14.25" style="543" customWidth="1"/>
    <col min="9990" max="10240" width="9" style="543"/>
    <col min="10241" max="10241" width="21.375" style="543" customWidth="1"/>
    <col min="10242" max="10242" width="14.25" style="543" customWidth="1"/>
    <col min="10243" max="10243" width="17.375" style="543" customWidth="1"/>
    <col min="10244" max="10244" width="16.25" style="543" customWidth="1"/>
    <col min="10245" max="10245" width="14.25" style="543" customWidth="1"/>
    <col min="10246" max="10496" width="9" style="543"/>
    <col min="10497" max="10497" width="21.375" style="543" customWidth="1"/>
    <col min="10498" max="10498" width="14.25" style="543" customWidth="1"/>
    <col min="10499" max="10499" width="17.375" style="543" customWidth="1"/>
    <col min="10500" max="10500" width="16.25" style="543" customWidth="1"/>
    <col min="10501" max="10501" width="14.25" style="543" customWidth="1"/>
    <col min="10502" max="10752" width="9" style="543"/>
    <col min="10753" max="10753" width="21.375" style="543" customWidth="1"/>
    <col min="10754" max="10754" width="14.25" style="543" customWidth="1"/>
    <col min="10755" max="10755" width="17.375" style="543" customWidth="1"/>
    <col min="10756" max="10756" width="16.25" style="543" customWidth="1"/>
    <col min="10757" max="10757" width="14.25" style="543" customWidth="1"/>
    <col min="10758" max="11008" width="9" style="543"/>
    <col min="11009" max="11009" width="21.375" style="543" customWidth="1"/>
    <col min="11010" max="11010" width="14.25" style="543" customWidth="1"/>
    <col min="11011" max="11011" width="17.375" style="543" customWidth="1"/>
    <col min="11012" max="11012" width="16.25" style="543" customWidth="1"/>
    <col min="11013" max="11013" width="14.25" style="543" customWidth="1"/>
    <col min="11014" max="11264" width="9" style="543"/>
    <col min="11265" max="11265" width="21.375" style="543" customWidth="1"/>
    <col min="11266" max="11266" width="14.25" style="543" customWidth="1"/>
    <col min="11267" max="11267" width="17.375" style="543" customWidth="1"/>
    <col min="11268" max="11268" width="16.25" style="543" customWidth="1"/>
    <col min="11269" max="11269" width="14.25" style="543" customWidth="1"/>
    <col min="11270" max="11520" width="9" style="543"/>
    <col min="11521" max="11521" width="21.375" style="543" customWidth="1"/>
    <col min="11522" max="11522" width="14.25" style="543" customWidth="1"/>
    <col min="11523" max="11523" width="17.375" style="543" customWidth="1"/>
    <col min="11524" max="11524" width="16.25" style="543" customWidth="1"/>
    <col min="11525" max="11525" width="14.25" style="543" customWidth="1"/>
    <col min="11526" max="11776" width="9" style="543"/>
    <col min="11777" max="11777" width="21.375" style="543" customWidth="1"/>
    <col min="11778" max="11778" width="14.25" style="543" customWidth="1"/>
    <col min="11779" max="11779" width="17.375" style="543" customWidth="1"/>
    <col min="11780" max="11780" width="16.25" style="543" customWidth="1"/>
    <col min="11781" max="11781" width="14.25" style="543" customWidth="1"/>
    <col min="11782" max="12032" width="9" style="543"/>
    <col min="12033" max="12033" width="21.375" style="543" customWidth="1"/>
    <col min="12034" max="12034" width="14.25" style="543" customWidth="1"/>
    <col min="12035" max="12035" width="17.375" style="543" customWidth="1"/>
    <col min="12036" max="12036" width="16.25" style="543" customWidth="1"/>
    <col min="12037" max="12037" width="14.25" style="543" customWidth="1"/>
    <col min="12038" max="12288" width="9" style="543"/>
    <col min="12289" max="12289" width="21.375" style="543" customWidth="1"/>
    <col min="12290" max="12290" width="14.25" style="543" customWidth="1"/>
    <col min="12291" max="12291" width="17.375" style="543" customWidth="1"/>
    <col min="12292" max="12292" width="16.25" style="543" customWidth="1"/>
    <col min="12293" max="12293" width="14.25" style="543" customWidth="1"/>
    <col min="12294" max="12544" width="9" style="543"/>
    <col min="12545" max="12545" width="21.375" style="543" customWidth="1"/>
    <col min="12546" max="12546" width="14.25" style="543" customWidth="1"/>
    <col min="12547" max="12547" width="17.375" style="543" customWidth="1"/>
    <col min="12548" max="12548" width="16.25" style="543" customWidth="1"/>
    <col min="12549" max="12549" width="14.25" style="543" customWidth="1"/>
    <col min="12550" max="12800" width="9" style="543"/>
    <col min="12801" max="12801" width="21.375" style="543" customWidth="1"/>
    <col min="12802" max="12802" width="14.25" style="543" customWidth="1"/>
    <col min="12803" max="12803" width="17.375" style="543" customWidth="1"/>
    <col min="12804" max="12804" width="16.25" style="543" customWidth="1"/>
    <col min="12805" max="12805" width="14.25" style="543" customWidth="1"/>
    <col min="12806" max="13056" width="9" style="543"/>
    <col min="13057" max="13057" width="21.375" style="543" customWidth="1"/>
    <col min="13058" max="13058" width="14.25" style="543" customWidth="1"/>
    <col min="13059" max="13059" width="17.375" style="543" customWidth="1"/>
    <col min="13060" max="13060" width="16.25" style="543" customWidth="1"/>
    <col min="13061" max="13061" width="14.25" style="543" customWidth="1"/>
    <col min="13062" max="13312" width="9" style="543"/>
    <col min="13313" max="13313" width="21.375" style="543" customWidth="1"/>
    <col min="13314" max="13314" width="14.25" style="543" customWidth="1"/>
    <col min="13315" max="13315" width="17.375" style="543" customWidth="1"/>
    <col min="13316" max="13316" width="16.25" style="543" customWidth="1"/>
    <col min="13317" max="13317" width="14.25" style="543" customWidth="1"/>
    <col min="13318" max="13568" width="9" style="543"/>
    <col min="13569" max="13569" width="21.375" style="543" customWidth="1"/>
    <col min="13570" max="13570" width="14.25" style="543" customWidth="1"/>
    <col min="13571" max="13571" width="17.375" style="543" customWidth="1"/>
    <col min="13572" max="13572" width="16.25" style="543" customWidth="1"/>
    <col min="13573" max="13573" width="14.25" style="543" customWidth="1"/>
    <col min="13574" max="13824" width="9" style="543"/>
    <col min="13825" max="13825" width="21.375" style="543" customWidth="1"/>
    <col min="13826" max="13826" width="14.25" style="543" customWidth="1"/>
    <col min="13827" max="13827" width="17.375" style="543" customWidth="1"/>
    <col min="13828" max="13828" width="16.25" style="543" customWidth="1"/>
    <col min="13829" max="13829" width="14.25" style="543" customWidth="1"/>
    <col min="13830" max="14080" width="9" style="543"/>
    <col min="14081" max="14081" width="21.375" style="543" customWidth="1"/>
    <col min="14082" max="14082" width="14.25" style="543" customWidth="1"/>
    <col min="14083" max="14083" width="17.375" style="543" customWidth="1"/>
    <col min="14084" max="14084" width="16.25" style="543" customWidth="1"/>
    <col min="14085" max="14085" width="14.25" style="543" customWidth="1"/>
    <col min="14086" max="14336" width="9" style="543"/>
    <col min="14337" max="14337" width="21.375" style="543" customWidth="1"/>
    <col min="14338" max="14338" width="14.25" style="543" customWidth="1"/>
    <col min="14339" max="14339" width="17.375" style="543" customWidth="1"/>
    <col min="14340" max="14340" width="16.25" style="543" customWidth="1"/>
    <col min="14341" max="14341" width="14.25" style="543" customWidth="1"/>
    <col min="14342" max="14592" width="9" style="543"/>
    <col min="14593" max="14593" width="21.375" style="543" customWidth="1"/>
    <col min="14594" max="14594" width="14.25" style="543" customWidth="1"/>
    <col min="14595" max="14595" width="17.375" style="543" customWidth="1"/>
    <col min="14596" max="14596" width="16.25" style="543" customWidth="1"/>
    <col min="14597" max="14597" width="14.25" style="543" customWidth="1"/>
    <col min="14598" max="14848" width="9" style="543"/>
    <col min="14849" max="14849" width="21.375" style="543" customWidth="1"/>
    <col min="14850" max="14850" width="14.25" style="543" customWidth="1"/>
    <col min="14851" max="14851" width="17.375" style="543" customWidth="1"/>
    <col min="14852" max="14852" width="16.25" style="543" customWidth="1"/>
    <col min="14853" max="14853" width="14.25" style="543" customWidth="1"/>
    <col min="14854" max="15104" width="9" style="543"/>
    <col min="15105" max="15105" width="21.375" style="543" customWidth="1"/>
    <col min="15106" max="15106" width="14.25" style="543" customWidth="1"/>
    <col min="15107" max="15107" width="17.375" style="543" customWidth="1"/>
    <col min="15108" max="15108" width="16.25" style="543" customWidth="1"/>
    <col min="15109" max="15109" width="14.25" style="543" customWidth="1"/>
    <col min="15110" max="15360" width="9" style="543"/>
    <col min="15361" max="15361" width="21.375" style="543" customWidth="1"/>
    <col min="15362" max="15362" width="14.25" style="543" customWidth="1"/>
    <col min="15363" max="15363" width="17.375" style="543" customWidth="1"/>
    <col min="15364" max="15364" width="16.25" style="543" customWidth="1"/>
    <col min="15365" max="15365" width="14.25" style="543" customWidth="1"/>
    <col min="15366" max="15616" width="9" style="543"/>
    <col min="15617" max="15617" width="21.375" style="543" customWidth="1"/>
    <col min="15618" max="15618" width="14.25" style="543" customWidth="1"/>
    <col min="15619" max="15619" width="17.375" style="543" customWidth="1"/>
    <col min="15620" max="15620" width="16.25" style="543" customWidth="1"/>
    <col min="15621" max="15621" width="14.25" style="543" customWidth="1"/>
    <col min="15622" max="15872" width="9" style="543"/>
    <col min="15873" max="15873" width="21.375" style="543" customWidth="1"/>
    <col min="15874" max="15874" width="14.25" style="543" customWidth="1"/>
    <col min="15875" max="15875" width="17.375" style="543" customWidth="1"/>
    <col min="15876" max="15876" width="16.25" style="543" customWidth="1"/>
    <col min="15877" max="15877" width="14.25" style="543" customWidth="1"/>
    <col min="15878" max="16128" width="9" style="543"/>
    <col min="16129" max="16129" width="21.375" style="543" customWidth="1"/>
    <col min="16130" max="16130" width="14.25" style="543" customWidth="1"/>
    <col min="16131" max="16131" width="17.375" style="543" customWidth="1"/>
    <col min="16132" max="16132" width="16.25" style="543" customWidth="1"/>
    <col min="16133" max="16133" width="14.25" style="543" customWidth="1"/>
    <col min="16134" max="16384" width="9" style="543"/>
  </cols>
  <sheetData>
    <row r="1" spans="1:5" ht="20.25">
      <c r="A1" s="829" t="s">
        <v>483</v>
      </c>
      <c r="B1" s="829"/>
      <c r="C1" s="829"/>
      <c r="D1" s="829"/>
      <c r="E1" s="829"/>
    </row>
    <row r="2" spans="1:5" ht="24" customHeight="1">
      <c r="A2" s="544" t="s">
        <v>484</v>
      </c>
      <c r="B2" s="544" t="s">
        <v>485</v>
      </c>
      <c r="C2" s="544" t="s">
        <v>486</v>
      </c>
      <c r="D2" s="544" t="s">
        <v>487</v>
      </c>
      <c r="E2" s="545" t="s">
        <v>488</v>
      </c>
    </row>
    <row r="3" spans="1:5">
      <c r="A3" s="546" t="s">
        <v>489</v>
      </c>
      <c r="B3" s="546"/>
      <c r="C3" s="546"/>
      <c r="D3" s="546"/>
      <c r="E3" s="546"/>
    </row>
    <row r="4" spans="1:5">
      <c r="A4" s="546"/>
      <c r="B4" s="546"/>
      <c r="C4" s="546"/>
      <c r="D4" s="546"/>
      <c r="E4" s="546"/>
    </row>
    <row r="5" spans="1:5" ht="21" customHeight="1">
      <c r="A5" s="544" t="s">
        <v>490</v>
      </c>
      <c r="B5" s="544" t="s">
        <v>485</v>
      </c>
      <c r="C5" s="544" t="s">
        <v>486</v>
      </c>
      <c r="D5" s="544" t="s">
        <v>487</v>
      </c>
      <c r="E5" s="545" t="s">
        <v>488</v>
      </c>
    </row>
    <row r="6" spans="1:5">
      <c r="A6" s="546" t="s">
        <v>459</v>
      </c>
      <c r="B6" s="546"/>
      <c r="C6" s="546"/>
      <c r="D6" s="546"/>
      <c r="E6" s="546"/>
    </row>
    <row r="7" spans="1:5">
      <c r="A7" s="546"/>
      <c r="B7" s="546"/>
      <c r="C7" s="546"/>
      <c r="D7" s="546"/>
      <c r="E7" s="546"/>
    </row>
    <row r="8" spans="1:5">
      <c r="A8" s="546"/>
      <c r="B8" s="546"/>
      <c r="C8" s="546"/>
      <c r="D8" s="546"/>
      <c r="E8" s="546"/>
    </row>
    <row r="9" spans="1:5">
      <c r="A9" s="546"/>
      <c r="B9" s="546"/>
      <c r="C9" s="546"/>
      <c r="D9" s="546"/>
      <c r="E9" s="546"/>
    </row>
    <row r="10" spans="1:5">
      <c r="A10" s="546"/>
      <c r="B10" s="546"/>
      <c r="C10" s="546"/>
      <c r="D10" s="546"/>
      <c r="E10" s="546"/>
    </row>
    <row r="11" spans="1:5">
      <c r="A11" s="546"/>
      <c r="B11" s="546"/>
      <c r="C11" s="546"/>
      <c r="D11" s="546"/>
      <c r="E11" s="546"/>
    </row>
    <row r="12" spans="1:5">
      <c r="A12" s="830" t="s">
        <v>461</v>
      </c>
      <c r="B12" s="831"/>
      <c r="C12" s="547"/>
      <c r="D12" s="547"/>
      <c r="E12" s="546"/>
    </row>
    <row r="13" spans="1:5">
      <c r="E13" s="533"/>
    </row>
  </sheetData>
  <mergeCells count="2">
    <mergeCell ref="A1:E1"/>
    <mergeCell ref="A12:B12"/>
  </mergeCells>
  <phoneticPr fontId="8" type="noConversion"/>
  <pageMargins left="0.7" right="0.7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85" zoomScaleNormal="85" workbookViewId="0">
      <selection activeCell="L14" sqref="L14"/>
    </sheetView>
  </sheetViews>
  <sheetFormatPr defaultRowHeight="16.5"/>
  <cols>
    <col min="1" max="1" width="8.75" style="548" customWidth="1"/>
    <col min="2" max="3" width="14.375" style="548" customWidth="1"/>
    <col min="4" max="4" width="32.375" style="548" customWidth="1"/>
    <col min="5" max="5" width="19.25" style="548" customWidth="1"/>
    <col min="6" max="6" width="6.75" style="548" customWidth="1"/>
    <col min="7" max="256" width="9" style="548"/>
    <col min="257" max="257" width="8.75" style="548" customWidth="1"/>
    <col min="258" max="259" width="14.375" style="548" customWidth="1"/>
    <col min="260" max="260" width="32.375" style="548" customWidth="1"/>
    <col min="261" max="261" width="19.25" style="548" customWidth="1"/>
    <col min="262" max="262" width="6.75" style="548" customWidth="1"/>
    <col min="263" max="512" width="9" style="548"/>
    <col min="513" max="513" width="8.75" style="548" customWidth="1"/>
    <col min="514" max="515" width="14.375" style="548" customWidth="1"/>
    <col min="516" max="516" width="32.375" style="548" customWidth="1"/>
    <col min="517" max="517" width="19.25" style="548" customWidth="1"/>
    <col min="518" max="518" width="6.75" style="548" customWidth="1"/>
    <col min="519" max="768" width="9" style="548"/>
    <col min="769" max="769" width="8.75" style="548" customWidth="1"/>
    <col min="770" max="771" width="14.375" style="548" customWidth="1"/>
    <col min="772" max="772" width="32.375" style="548" customWidth="1"/>
    <col min="773" max="773" width="19.25" style="548" customWidth="1"/>
    <col min="774" max="774" width="6.75" style="548" customWidth="1"/>
    <col min="775" max="1024" width="9" style="548"/>
    <col min="1025" max="1025" width="8.75" style="548" customWidth="1"/>
    <col min="1026" max="1027" width="14.375" style="548" customWidth="1"/>
    <col min="1028" max="1028" width="32.375" style="548" customWidth="1"/>
    <col min="1029" max="1029" width="19.25" style="548" customWidth="1"/>
    <col min="1030" max="1030" width="6.75" style="548" customWidth="1"/>
    <col min="1031" max="1280" width="9" style="548"/>
    <col min="1281" max="1281" width="8.75" style="548" customWidth="1"/>
    <col min="1282" max="1283" width="14.375" style="548" customWidth="1"/>
    <col min="1284" max="1284" width="32.375" style="548" customWidth="1"/>
    <col min="1285" max="1285" width="19.25" style="548" customWidth="1"/>
    <col min="1286" max="1286" width="6.75" style="548" customWidth="1"/>
    <col min="1287" max="1536" width="9" style="548"/>
    <col min="1537" max="1537" width="8.75" style="548" customWidth="1"/>
    <col min="1538" max="1539" width="14.375" style="548" customWidth="1"/>
    <col min="1540" max="1540" width="32.375" style="548" customWidth="1"/>
    <col min="1541" max="1541" width="19.25" style="548" customWidth="1"/>
    <col min="1542" max="1542" width="6.75" style="548" customWidth="1"/>
    <col min="1543" max="1792" width="9" style="548"/>
    <col min="1793" max="1793" width="8.75" style="548" customWidth="1"/>
    <col min="1794" max="1795" width="14.375" style="548" customWidth="1"/>
    <col min="1796" max="1796" width="32.375" style="548" customWidth="1"/>
    <col min="1797" max="1797" width="19.25" style="548" customWidth="1"/>
    <col min="1798" max="1798" width="6.75" style="548" customWidth="1"/>
    <col min="1799" max="2048" width="9" style="548"/>
    <col min="2049" max="2049" width="8.75" style="548" customWidth="1"/>
    <col min="2050" max="2051" width="14.375" style="548" customWidth="1"/>
    <col min="2052" max="2052" width="32.375" style="548" customWidth="1"/>
    <col min="2053" max="2053" width="19.25" style="548" customWidth="1"/>
    <col min="2054" max="2054" width="6.75" style="548" customWidth="1"/>
    <col min="2055" max="2304" width="9" style="548"/>
    <col min="2305" max="2305" width="8.75" style="548" customWidth="1"/>
    <col min="2306" max="2307" width="14.375" style="548" customWidth="1"/>
    <col min="2308" max="2308" width="32.375" style="548" customWidth="1"/>
    <col min="2309" max="2309" width="19.25" style="548" customWidth="1"/>
    <col min="2310" max="2310" width="6.75" style="548" customWidth="1"/>
    <col min="2311" max="2560" width="9" style="548"/>
    <col min="2561" max="2561" width="8.75" style="548" customWidth="1"/>
    <col min="2562" max="2563" width="14.375" style="548" customWidth="1"/>
    <col min="2564" max="2564" width="32.375" style="548" customWidth="1"/>
    <col min="2565" max="2565" width="19.25" style="548" customWidth="1"/>
    <col min="2566" max="2566" width="6.75" style="548" customWidth="1"/>
    <col min="2567" max="2816" width="9" style="548"/>
    <col min="2817" max="2817" width="8.75" style="548" customWidth="1"/>
    <col min="2818" max="2819" width="14.375" style="548" customWidth="1"/>
    <col min="2820" max="2820" width="32.375" style="548" customWidth="1"/>
    <col min="2821" max="2821" width="19.25" style="548" customWidth="1"/>
    <col min="2822" max="2822" width="6.75" style="548" customWidth="1"/>
    <col min="2823" max="3072" width="9" style="548"/>
    <col min="3073" max="3073" width="8.75" style="548" customWidth="1"/>
    <col min="3074" max="3075" width="14.375" style="548" customWidth="1"/>
    <col min="3076" max="3076" width="32.375" style="548" customWidth="1"/>
    <col min="3077" max="3077" width="19.25" style="548" customWidth="1"/>
    <col min="3078" max="3078" width="6.75" style="548" customWidth="1"/>
    <col min="3079" max="3328" width="9" style="548"/>
    <col min="3329" max="3329" width="8.75" style="548" customWidth="1"/>
    <col min="3330" max="3331" width="14.375" style="548" customWidth="1"/>
    <col min="3332" max="3332" width="32.375" style="548" customWidth="1"/>
    <col min="3333" max="3333" width="19.25" style="548" customWidth="1"/>
    <col min="3334" max="3334" width="6.75" style="548" customWidth="1"/>
    <col min="3335" max="3584" width="9" style="548"/>
    <col min="3585" max="3585" width="8.75" style="548" customWidth="1"/>
    <col min="3586" max="3587" width="14.375" style="548" customWidth="1"/>
    <col min="3588" max="3588" width="32.375" style="548" customWidth="1"/>
    <col min="3589" max="3589" width="19.25" style="548" customWidth="1"/>
    <col min="3590" max="3590" width="6.75" style="548" customWidth="1"/>
    <col min="3591" max="3840" width="9" style="548"/>
    <col min="3841" max="3841" width="8.75" style="548" customWidth="1"/>
    <col min="3842" max="3843" width="14.375" style="548" customWidth="1"/>
    <col min="3844" max="3844" width="32.375" style="548" customWidth="1"/>
    <col min="3845" max="3845" width="19.25" style="548" customWidth="1"/>
    <col min="3846" max="3846" width="6.75" style="548" customWidth="1"/>
    <col min="3847" max="4096" width="9" style="548"/>
    <col min="4097" max="4097" width="8.75" style="548" customWidth="1"/>
    <col min="4098" max="4099" width="14.375" style="548" customWidth="1"/>
    <col min="4100" max="4100" width="32.375" style="548" customWidth="1"/>
    <col min="4101" max="4101" width="19.25" style="548" customWidth="1"/>
    <col min="4102" max="4102" width="6.75" style="548" customWidth="1"/>
    <col min="4103" max="4352" width="9" style="548"/>
    <col min="4353" max="4353" width="8.75" style="548" customWidth="1"/>
    <col min="4354" max="4355" width="14.375" style="548" customWidth="1"/>
    <col min="4356" max="4356" width="32.375" style="548" customWidth="1"/>
    <col min="4357" max="4357" width="19.25" style="548" customWidth="1"/>
    <col min="4358" max="4358" width="6.75" style="548" customWidth="1"/>
    <col min="4359" max="4608" width="9" style="548"/>
    <col min="4609" max="4609" width="8.75" style="548" customWidth="1"/>
    <col min="4610" max="4611" width="14.375" style="548" customWidth="1"/>
    <col min="4612" max="4612" width="32.375" style="548" customWidth="1"/>
    <col min="4613" max="4613" width="19.25" style="548" customWidth="1"/>
    <col min="4614" max="4614" width="6.75" style="548" customWidth="1"/>
    <col min="4615" max="4864" width="9" style="548"/>
    <col min="4865" max="4865" width="8.75" style="548" customWidth="1"/>
    <col min="4866" max="4867" width="14.375" style="548" customWidth="1"/>
    <col min="4868" max="4868" width="32.375" style="548" customWidth="1"/>
    <col min="4869" max="4869" width="19.25" style="548" customWidth="1"/>
    <col min="4870" max="4870" width="6.75" style="548" customWidth="1"/>
    <col min="4871" max="5120" width="9" style="548"/>
    <col min="5121" max="5121" width="8.75" style="548" customWidth="1"/>
    <col min="5122" max="5123" width="14.375" style="548" customWidth="1"/>
    <col min="5124" max="5124" width="32.375" style="548" customWidth="1"/>
    <col min="5125" max="5125" width="19.25" style="548" customWidth="1"/>
    <col min="5126" max="5126" width="6.75" style="548" customWidth="1"/>
    <col min="5127" max="5376" width="9" style="548"/>
    <col min="5377" max="5377" width="8.75" style="548" customWidth="1"/>
    <col min="5378" max="5379" width="14.375" style="548" customWidth="1"/>
    <col min="5380" max="5380" width="32.375" style="548" customWidth="1"/>
    <col min="5381" max="5381" width="19.25" style="548" customWidth="1"/>
    <col min="5382" max="5382" width="6.75" style="548" customWidth="1"/>
    <col min="5383" max="5632" width="9" style="548"/>
    <col min="5633" max="5633" width="8.75" style="548" customWidth="1"/>
    <col min="5634" max="5635" width="14.375" style="548" customWidth="1"/>
    <col min="5636" max="5636" width="32.375" style="548" customWidth="1"/>
    <col min="5637" max="5637" width="19.25" style="548" customWidth="1"/>
    <col min="5638" max="5638" width="6.75" style="548" customWidth="1"/>
    <col min="5639" max="5888" width="9" style="548"/>
    <col min="5889" max="5889" width="8.75" style="548" customWidth="1"/>
    <col min="5890" max="5891" width="14.375" style="548" customWidth="1"/>
    <col min="5892" max="5892" width="32.375" style="548" customWidth="1"/>
    <col min="5893" max="5893" width="19.25" style="548" customWidth="1"/>
    <col min="5894" max="5894" width="6.75" style="548" customWidth="1"/>
    <col min="5895" max="6144" width="9" style="548"/>
    <col min="6145" max="6145" width="8.75" style="548" customWidth="1"/>
    <col min="6146" max="6147" width="14.375" style="548" customWidth="1"/>
    <col min="6148" max="6148" width="32.375" style="548" customWidth="1"/>
    <col min="6149" max="6149" width="19.25" style="548" customWidth="1"/>
    <col min="6150" max="6150" width="6.75" style="548" customWidth="1"/>
    <col min="6151" max="6400" width="9" style="548"/>
    <col min="6401" max="6401" width="8.75" style="548" customWidth="1"/>
    <col min="6402" max="6403" width="14.375" style="548" customWidth="1"/>
    <col min="6404" max="6404" width="32.375" style="548" customWidth="1"/>
    <col min="6405" max="6405" width="19.25" style="548" customWidth="1"/>
    <col min="6406" max="6406" width="6.75" style="548" customWidth="1"/>
    <col min="6407" max="6656" width="9" style="548"/>
    <col min="6657" max="6657" width="8.75" style="548" customWidth="1"/>
    <col min="6658" max="6659" width="14.375" style="548" customWidth="1"/>
    <col min="6660" max="6660" width="32.375" style="548" customWidth="1"/>
    <col min="6661" max="6661" width="19.25" style="548" customWidth="1"/>
    <col min="6662" max="6662" width="6.75" style="548" customWidth="1"/>
    <col min="6663" max="6912" width="9" style="548"/>
    <col min="6913" max="6913" width="8.75" style="548" customWidth="1"/>
    <col min="6914" max="6915" width="14.375" style="548" customWidth="1"/>
    <col min="6916" max="6916" width="32.375" style="548" customWidth="1"/>
    <col min="6917" max="6917" width="19.25" style="548" customWidth="1"/>
    <col min="6918" max="6918" width="6.75" style="548" customWidth="1"/>
    <col min="6919" max="7168" width="9" style="548"/>
    <col min="7169" max="7169" width="8.75" style="548" customWidth="1"/>
    <col min="7170" max="7171" width="14.375" style="548" customWidth="1"/>
    <col min="7172" max="7172" width="32.375" style="548" customWidth="1"/>
    <col min="7173" max="7173" width="19.25" style="548" customWidth="1"/>
    <col min="7174" max="7174" width="6.75" style="548" customWidth="1"/>
    <col min="7175" max="7424" width="9" style="548"/>
    <col min="7425" max="7425" width="8.75" style="548" customWidth="1"/>
    <col min="7426" max="7427" width="14.375" style="548" customWidth="1"/>
    <col min="7428" max="7428" width="32.375" style="548" customWidth="1"/>
    <col min="7429" max="7429" width="19.25" style="548" customWidth="1"/>
    <col min="7430" max="7430" width="6.75" style="548" customWidth="1"/>
    <col min="7431" max="7680" width="9" style="548"/>
    <col min="7681" max="7681" width="8.75" style="548" customWidth="1"/>
    <col min="7682" max="7683" width="14.375" style="548" customWidth="1"/>
    <col min="7684" max="7684" width="32.375" style="548" customWidth="1"/>
    <col min="7685" max="7685" width="19.25" style="548" customWidth="1"/>
    <col min="7686" max="7686" width="6.75" style="548" customWidth="1"/>
    <col min="7687" max="7936" width="9" style="548"/>
    <col min="7937" max="7937" width="8.75" style="548" customWidth="1"/>
    <col min="7938" max="7939" width="14.375" style="548" customWidth="1"/>
    <col min="7940" max="7940" width="32.375" style="548" customWidth="1"/>
    <col min="7941" max="7941" width="19.25" style="548" customWidth="1"/>
    <col min="7942" max="7942" width="6.75" style="548" customWidth="1"/>
    <col min="7943" max="8192" width="9" style="548"/>
    <col min="8193" max="8193" width="8.75" style="548" customWidth="1"/>
    <col min="8194" max="8195" width="14.375" style="548" customWidth="1"/>
    <col min="8196" max="8196" width="32.375" style="548" customWidth="1"/>
    <col min="8197" max="8197" width="19.25" style="548" customWidth="1"/>
    <col min="8198" max="8198" width="6.75" style="548" customWidth="1"/>
    <col min="8199" max="8448" width="9" style="548"/>
    <col min="8449" max="8449" width="8.75" style="548" customWidth="1"/>
    <col min="8450" max="8451" width="14.375" style="548" customWidth="1"/>
    <col min="8452" max="8452" width="32.375" style="548" customWidth="1"/>
    <col min="8453" max="8453" width="19.25" style="548" customWidth="1"/>
    <col min="8454" max="8454" width="6.75" style="548" customWidth="1"/>
    <col min="8455" max="8704" width="9" style="548"/>
    <col min="8705" max="8705" width="8.75" style="548" customWidth="1"/>
    <col min="8706" max="8707" width="14.375" style="548" customWidth="1"/>
    <col min="8708" max="8708" width="32.375" style="548" customWidth="1"/>
    <col min="8709" max="8709" width="19.25" style="548" customWidth="1"/>
    <col min="8710" max="8710" width="6.75" style="548" customWidth="1"/>
    <col min="8711" max="8960" width="9" style="548"/>
    <col min="8961" max="8961" width="8.75" style="548" customWidth="1"/>
    <col min="8962" max="8963" width="14.375" style="548" customWidth="1"/>
    <col min="8964" max="8964" width="32.375" style="548" customWidth="1"/>
    <col min="8965" max="8965" width="19.25" style="548" customWidth="1"/>
    <col min="8966" max="8966" width="6.75" style="548" customWidth="1"/>
    <col min="8967" max="9216" width="9" style="548"/>
    <col min="9217" max="9217" width="8.75" style="548" customWidth="1"/>
    <col min="9218" max="9219" width="14.375" style="548" customWidth="1"/>
    <col min="9220" max="9220" width="32.375" style="548" customWidth="1"/>
    <col min="9221" max="9221" width="19.25" style="548" customWidth="1"/>
    <col min="9222" max="9222" width="6.75" style="548" customWidth="1"/>
    <col min="9223" max="9472" width="9" style="548"/>
    <col min="9473" max="9473" width="8.75" style="548" customWidth="1"/>
    <col min="9474" max="9475" width="14.375" style="548" customWidth="1"/>
    <col min="9476" max="9476" width="32.375" style="548" customWidth="1"/>
    <col min="9477" max="9477" width="19.25" style="548" customWidth="1"/>
    <col min="9478" max="9478" width="6.75" style="548" customWidth="1"/>
    <col min="9479" max="9728" width="9" style="548"/>
    <col min="9729" max="9729" width="8.75" style="548" customWidth="1"/>
    <col min="9730" max="9731" width="14.375" style="548" customWidth="1"/>
    <col min="9732" max="9732" width="32.375" style="548" customWidth="1"/>
    <col min="9733" max="9733" width="19.25" style="548" customWidth="1"/>
    <col min="9734" max="9734" width="6.75" style="548" customWidth="1"/>
    <col min="9735" max="9984" width="9" style="548"/>
    <col min="9985" max="9985" width="8.75" style="548" customWidth="1"/>
    <col min="9986" max="9987" width="14.375" style="548" customWidth="1"/>
    <col min="9988" max="9988" width="32.375" style="548" customWidth="1"/>
    <col min="9989" max="9989" width="19.25" style="548" customWidth="1"/>
    <col min="9990" max="9990" width="6.75" style="548" customWidth="1"/>
    <col min="9991" max="10240" width="9" style="548"/>
    <col min="10241" max="10241" width="8.75" style="548" customWidth="1"/>
    <col min="10242" max="10243" width="14.375" style="548" customWidth="1"/>
    <col min="10244" max="10244" width="32.375" style="548" customWidth="1"/>
    <col min="10245" max="10245" width="19.25" style="548" customWidth="1"/>
    <col min="10246" max="10246" width="6.75" style="548" customWidth="1"/>
    <col min="10247" max="10496" width="9" style="548"/>
    <col min="10497" max="10497" width="8.75" style="548" customWidth="1"/>
    <col min="10498" max="10499" width="14.375" style="548" customWidth="1"/>
    <col min="10500" max="10500" width="32.375" style="548" customWidth="1"/>
    <col min="10501" max="10501" width="19.25" style="548" customWidth="1"/>
    <col min="10502" max="10502" width="6.75" style="548" customWidth="1"/>
    <col min="10503" max="10752" width="9" style="548"/>
    <col min="10753" max="10753" width="8.75" style="548" customWidth="1"/>
    <col min="10754" max="10755" width="14.375" style="548" customWidth="1"/>
    <col min="10756" max="10756" width="32.375" style="548" customWidth="1"/>
    <col min="10757" max="10757" width="19.25" style="548" customWidth="1"/>
    <col min="10758" max="10758" width="6.75" style="548" customWidth="1"/>
    <col min="10759" max="11008" width="9" style="548"/>
    <col min="11009" max="11009" width="8.75" style="548" customWidth="1"/>
    <col min="11010" max="11011" width="14.375" style="548" customWidth="1"/>
    <col min="11012" max="11012" width="32.375" style="548" customWidth="1"/>
    <col min="11013" max="11013" width="19.25" style="548" customWidth="1"/>
    <col min="11014" max="11014" width="6.75" style="548" customWidth="1"/>
    <col min="11015" max="11264" width="9" style="548"/>
    <col min="11265" max="11265" width="8.75" style="548" customWidth="1"/>
    <col min="11266" max="11267" width="14.375" style="548" customWidth="1"/>
    <col min="11268" max="11268" width="32.375" style="548" customWidth="1"/>
    <col min="11269" max="11269" width="19.25" style="548" customWidth="1"/>
    <col min="11270" max="11270" width="6.75" style="548" customWidth="1"/>
    <col min="11271" max="11520" width="9" style="548"/>
    <col min="11521" max="11521" width="8.75" style="548" customWidth="1"/>
    <col min="11522" max="11523" width="14.375" style="548" customWidth="1"/>
    <col min="11524" max="11524" width="32.375" style="548" customWidth="1"/>
    <col min="11525" max="11525" width="19.25" style="548" customWidth="1"/>
    <col min="11526" max="11526" width="6.75" style="548" customWidth="1"/>
    <col min="11527" max="11776" width="9" style="548"/>
    <col min="11777" max="11777" width="8.75" style="548" customWidth="1"/>
    <col min="11778" max="11779" width="14.375" style="548" customWidth="1"/>
    <col min="11780" max="11780" width="32.375" style="548" customWidth="1"/>
    <col min="11781" max="11781" width="19.25" style="548" customWidth="1"/>
    <col min="11782" max="11782" width="6.75" style="548" customWidth="1"/>
    <col min="11783" max="12032" width="9" style="548"/>
    <col min="12033" max="12033" width="8.75" style="548" customWidth="1"/>
    <col min="12034" max="12035" width="14.375" style="548" customWidth="1"/>
    <col min="12036" max="12036" width="32.375" style="548" customWidth="1"/>
    <col min="12037" max="12037" width="19.25" style="548" customWidth="1"/>
    <col min="12038" max="12038" width="6.75" style="548" customWidth="1"/>
    <col min="12039" max="12288" width="9" style="548"/>
    <col min="12289" max="12289" width="8.75" style="548" customWidth="1"/>
    <col min="12290" max="12291" width="14.375" style="548" customWidth="1"/>
    <col min="12292" max="12292" width="32.375" style="548" customWidth="1"/>
    <col min="12293" max="12293" width="19.25" style="548" customWidth="1"/>
    <col min="12294" max="12294" width="6.75" style="548" customWidth="1"/>
    <col min="12295" max="12544" width="9" style="548"/>
    <col min="12545" max="12545" width="8.75" style="548" customWidth="1"/>
    <col min="12546" max="12547" width="14.375" style="548" customWidth="1"/>
    <col min="12548" max="12548" width="32.375" style="548" customWidth="1"/>
    <col min="12549" max="12549" width="19.25" style="548" customWidth="1"/>
    <col min="12550" max="12550" width="6.75" style="548" customWidth="1"/>
    <col min="12551" max="12800" width="9" style="548"/>
    <col min="12801" max="12801" width="8.75" style="548" customWidth="1"/>
    <col min="12802" max="12803" width="14.375" style="548" customWidth="1"/>
    <col min="12804" max="12804" width="32.375" style="548" customWidth="1"/>
    <col min="12805" max="12805" width="19.25" style="548" customWidth="1"/>
    <col min="12806" max="12806" width="6.75" style="548" customWidth="1"/>
    <col min="12807" max="13056" width="9" style="548"/>
    <col min="13057" max="13057" width="8.75" style="548" customWidth="1"/>
    <col min="13058" max="13059" width="14.375" style="548" customWidth="1"/>
    <col min="13060" max="13060" width="32.375" style="548" customWidth="1"/>
    <col min="13061" max="13061" width="19.25" style="548" customWidth="1"/>
    <col min="13062" max="13062" width="6.75" style="548" customWidth="1"/>
    <col min="13063" max="13312" width="9" style="548"/>
    <col min="13313" max="13313" width="8.75" style="548" customWidth="1"/>
    <col min="13314" max="13315" width="14.375" style="548" customWidth="1"/>
    <col min="13316" max="13316" width="32.375" style="548" customWidth="1"/>
    <col min="13317" max="13317" width="19.25" style="548" customWidth="1"/>
    <col min="13318" max="13318" width="6.75" style="548" customWidth="1"/>
    <col min="13319" max="13568" width="9" style="548"/>
    <col min="13569" max="13569" width="8.75" style="548" customWidth="1"/>
    <col min="13570" max="13571" width="14.375" style="548" customWidth="1"/>
    <col min="13572" max="13572" width="32.375" style="548" customWidth="1"/>
    <col min="13573" max="13573" width="19.25" style="548" customWidth="1"/>
    <col min="13574" max="13574" width="6.75" style="548" customWidth="1"/>
    <col min="13575" max="13824" width="9" style="548"/>
    <col min="13825" max="13825" width="8.75" style="548" customWidth="1"/>
    <col min="13826" max="13827" width="14.375" style="548" customWidth="1"/>
    <col min="13828" max="13828" width="32.375" style="548" customWidth="1"/>
    <col min="13829" max="13829" width="19.25" style="548" customWidth="1"/>
    <col min="13830" max="13830" width="6.75" style="548" customWidth="1"/>
    <col min="13831" max="14080" width="9" style="548"/>
    <col min="14081" max="14081" width="8.75" style="548" customWidth="1"/>
    <col min="14082" max="14083" width="14.375" style="548" customWidth="1"/>
    <col min="14084" max="14084" width="32.375" style="548" customWidth="1"/>
    <col min="14085" max="14085" width="19.25" style="548" customWidth="1"/>
    <col min="14086" max="14086" width="6.75" style="548" customWidth="1"/>
    <col min="14087" max="14336" width="9" style="548"/>
    <col min="14337" max="14337" width="8.75" style="548" customWidth="1"/>
    <col min="14338" max="14339" width="14.375" style="548" customWidth="1"/>
    <col min="14340" max="14340" width="32.375" style="548" customWidth="1"/>
    <col min="14341" max="14341" width="19.25" style="548" customWidth="1"/>
    <col min="14342" max="14342" width="6.75" style="548" customWidth="1"/>
    <col min="14343" max="14592" width="9" style="548"/>
    <col min="14593" max="14593" width="8.75" style="548" customWidth="1"/>
    <col min="14594" max="14595" width="14.375" style="548" customWidth="1"/>
    <col min="14596" max="14596" width="32.375" style="548" customWidth="1"/>
    <col min="14597" max="14597" width="19.25" style="548" customWidth="1"/>
    <col min="14598" max="14598" width="6.75" style="548" customWidth="1"/>
    <col min="14599" max="14848" width="9" style="548"/>
    <col min="14849" max="14849" width="8.75" style="548" customWidth="1"/>
    <col min="14850" max="14851" width="14.375" style="548" customWidth="1"/>
    <col min="14852" max="14852" width="32.375" style="548" customWidth="1"/>
    <col min="14853" max="14853" width="19.25" style="548" customWidth="1"/>
    <col min="14854" max="14854" width="6.75" style="548" customWidth="1"/>
    <col min="14855" max="15104" width="9" style="548"/>
    <col min="15105" max="15105" width="8.75" style="548" customWidth="1"/>
    <col min="15106" max="15107" width="14.375" style="548" customWidth="1"/>
    <col min="15108" max="15108" width="32.375" style="548" customWidth="1"/>
    <col min="15109" max="15109" width="19.25" style="548" customWidth="1"/>
    <col min="15110" max="15110" width="6.75" style="548" customWidth="1"/>
    <col min="15111" max="15360" width="9" style="548"/>
    <col min="15361" max="15361" width="8.75" style="548" customWidth="1"/>
    <col min="15362" max="15363" width="14.375" style="548" customWidth="1"/>
    <col min="15364" max="15364" width="32.375" style="548" customWidth="1"/>
    <col min="15365" max="15365" width="19.25" style="548" customWidth="1"/>
    <col min="15366" max="15366" width="6.75" style="548" customWidth="1"/>
    <col min="15367" max="15616" width="9" style="548"/>
    <col min="15617" max="15617" width="8.75" style="548" customWidth="1"/>
    <col min="15618" max="15619" width="14.375" style="548" customWidth="1"/>
    <col min="15620" max="15620" width="32.375" style="548" customWidth="1"/>
    <col min="15621" max="15621" width="19.25" style="548" customWidth="1"/>
    <col min="15622" max="15622" width="6.75" style="548" customWidth="1"/>
    <col min="15623" max="15872" width="9" style="548"/>
    <col min="15873" max="15873" width="8.75" style="548" customWidth="1"/>
    <col min="15874" max="15875" width="14.375" style="548" customWidth="1"/>
    <col min="15876" max="15876" width="32.375" style="548" customWidth="1"/>
    <col min="15877" max="15877" width="19.25" style="548" customWidth="1"/>
    <col min="15878" max="15878" width="6.75" style="548" customWidth="1"/>
    <col min="15879" max="16128" width="9" style="548"/>
    <col min="16129" max="16129" width="8.75" style="548" customWidth="1"/>
    <col min="16130" max="16131" width="14.375" style="548" customWidth="1"/>
    <col min="16132" max="16132" width="32.375" style="548" customWidth="1"/>
    <col min="16133" max="16133" width="19.25" style="548" customWidth="1"/>
    <col min="16134" max="16134" width="6.75" style="548" customWidth="1"/>
    <col min="16135" max="16384" width="9" style="548"/>
  </cols>
  <sheetData>
    <row r="1" spans="1:6" ht="20.25">
      <c r="A1" s="832" t="s">
        <v>491</v>
      </c>
      <c r="B1" s="832"/>
      <c r="C1" s="832"/>
      <c r="D1" s="832"/>
      <c r="E1" s="832"/>
      <c r="F1" s="832"/>
    </row>
    <row r="2" spans="1:6" s="551" customFormat="1" ht="34.5">
      <c r="A2" s="549" t="s">
        <v>449</v>
      </c>
      <c r="B2" s="550" t="s">
        <v>492</v>
      </c>
      <c r="C2" s="550"/>
      <c r="D2" s="550" t="s">
        <v>493</v>
      </c>
      <c r="E2" s="550" t="s">
        <v>494</v>
      </c>
      <c r="F2" s="549" t="s">
        <v>495</v>
      </c>
    </row>
    <row r="3" spans="1:6" ht="24.95" customHeight="1">
      <c r="A3" s="833" t="s">
        <v>560</v>
      </c>
      <c r="B3" s="552"/>
      <c r="C3" s="552"/>
      <c r="D3" s="553"/>
      <c r="E3" s="553"/>
      <c r="F3" s="553"/>
    </row>
    <row r="4" spans="1:6" ht="24.95" customHeight="1">
      <c r="A4" s="834"/>
      <c r="B4" s="552"/>
      <c r="C4" s="552"/>
      <c r="D4" s="553"/>
      <c r="E4" s="553"/>
      <c r="F4" s="553"/>
    </row>
    <row r="5" spans="1:6" ht="24.95" customHeight="1">
      <c r="A5" s="835"/>
      <c r="B5" s="552"/>
      <c r="C5" s="552"/>
      <c r="D5" s="553"/>
      <c r="E5" s="553"/>
      <c r="F5" s="553"/>
    </row>
    <row r="6" spans="1:6" ht="24.95" customHeight="1">
      <c r="A6" s="836" t="s">
        <v>561</v>
      </c>
      <c r="B6" s="552"/>
      <c r="C6" s="552"/>
      <c r="D6" s="553"/>
      <c r="E6" s="553"/>
      <c r="F6" s="553"/>
    </row>
    <row r="7" spans="1:6" ht="24.95" customHeight="1">
      <c r="A7" s="837"/>
      <c r="B7" s="552"/>
      <c r="C7" s="552"/>
      <c r="D7" s="553"/>
      <c r="E7" s="553"/>
      <c r="F7" s="553"/>
    </row>
    <row r="8" spans="1:6" ht="24.95" customHeight="1">
      <c r="A8" s="837"/>
      <c r="B8" s="552"/>
      <c r="C8" s="552"/>
      <c r="D8" s="553"/>
      <c r="E8" s="553"/>
      <c r="F8" s="553"/>
    </row>
    <row r="9" spans="1:6" ht="24.95" customHeight="1">
      <c r="A9" s="837"/>
      <c r="B9" s="552"/>
      <c r="C9" s="552"/>
      <c r="D9" s="553"/>
      <c r="E9" s="553"/>
      <c r="F9" s="553"/>
    </row>
    <row r="10" spans="1:6" ht="24.95" customHeight="1">
      <c r="A10" s="838"/>
      <c r="B10" s="552"/>
      <c r="C10" s="552"/>
      <c r="D10" s="553"/>
      <c r="E10" s="553"/>
      <c r="F10" s="553"/>
    </row>
    <row r="11" spans="1:6" ht="24.95" customHeight="1">
      <c r="A11" s="836" t="s">
        <v>562</v>
      </c>
      <c r="B11" s="552"/>
      <c r="C11" s="552"/>
      <c r="D11" s="553"/>
      <c r="E11" s="553"/>
      <c r="F11" s="553"/>
    </row>
    <row r="12" spans="1:6" ht="24.95" customHeight="1">
      <c r="A12" s="837"/>
      <c r="B12" s="552"/>
      <c r="C12" s="552"/>
      <c r="D12" s="553"/>
      <c r="E12" s="553"/>
      <c r="F12" s="553"/>
    </row>
    <row r="13" spans="1:6" ht="24.95" customHeight="1">
      <c r="A13" s="837"/>
      <c r="B13" s="552"/>
      <c r="C13" s="552"/>
      <c r="D13" s="553"/>
      <c r="E13" s="553"/>
      <c r="F13" s="553"/>
    </row>
    <row r="14" spans="1:6" ht="24.95" customHeight="1">
      <c r="A14" s="837"/>
      <c r="B14" s="552"/>
      <c r="C14" s="552"/>
      <c r="D14" s="553"/>
      <c r="E14" s="553"/>
      <c r="F14" s="553"/>
    </row>
    <row r="15" spans="1:6" ht="24.95" customHeight="1">
      <c r="A15" s="837"/>
      <c r="B15" s="552"/>
      <c r="C15" s="552"/>
      <c r="D15" s="553"/>
      <c r="E15" s="553"/>
      <c r="F15" s="553"/>
    </row>
    <row r="16" spans="1:6" ht="24.95" customHeight="1">
      <c r="A16" s="838"/>
      <c r="B16" s="552"/>
      <c r="C16" s="552"/>
      <c r="D16" s="553"/>
      <c r="E16" s="553"/>
      <c r="F16" s="553"/>
    </row>
    <row r="17" spans="1:6" ht="24.95" customHeight="1">
      <c r="A17" s="554" t="s">
        <v>496</v>
      </c>
      <c r="B17" s="554"/>
      <c r="C17" s="554"/>
      <c r="D17" s="552"/>
      <c r="E17" s="552"/>
      <c r="F17" s="552"/>
    </row>
    <row r="19" spans="1:6">
      <c r="A19" s="555" t="s">
        <v>563</v>
      </c>
      <c r="B19" s="556"/>
      <c r="C19" s="556"/>
      <c r="D19" s="556"/>
    </row>
  </sheetData>
  <mergeCells count="4">
    <mergeCell ref="A1:F1"/>
    <mergeCell ref="A3:A5"/>
    <mergeCell ref="A6:A10"/>
    <mergeCell ref="A11:A16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SheetLayoutView="100" workbookViewId="0">
      <selection activeCell="J6" sqref="J6"/>
    </sheetView>
  </sheetViews>
  <sheetFormatPr defaultRowHeight="16.5"/>
  <cols>
    <col min="1" max="1" width="1.25" style="5" customWidth="1"/>
    <col min="2" max="2" width="25" customWidth="1"/>
    <col min="3" max="3" width="31" style="5" customWidth="1"/>
    <col min="4" max="4" width="11.125" style="5" customWidth="1"/>
    <col min="5" max="5" width="11.625" customWidth="1"/>
    <col min="6" max="10" width="11.25" style="5" customWidth="1"/>
    <col min="11" max="11" width="11.25" customWidth="1"/>
    <col min="12" max="12" width="1.25" customWidth="1"/>
  </cols>
  <sheetData>
    <row r="1" spans="2:11" ht="22.5" customHeight="1">
      <c r="B1" s="569" t="s">
        <v>0</v>
      </c>
      <c r="C1" s="569"/>
      <c r="D1" s="569"/>
      <c r="E1" s="569"/>
      <c r="F1" s="569"/>
      <c r="G1" s="569"/>
      <c r="H1" s="569"/>
      <c r="I1" s="569"/>
      <c r="J1" s="569"/>
      <c r="K1" s="569"/>
    </row>
    <row r="2" spans="2:11" ht="22.5" customHeight="1" thickBot="1">
      <c r="B2" s="1"/>
      <c r="C2" s="1"/>
      <c r="D2" s="1"/>
      <c r="E2" s="1"/>
      <c r="F2" s="147" t="s">
        <v>159</v>
      </c>
      <c r="G2" s="147"/>
      <c r="H2" s="147"/>
      <c r="I2" s="147"/>
      <c r="J2" s="147"/>
      <c r="K2" s="148">
        <v>44073</v>
      </c>
    </row>
    <row r="3" spans="2:11" ht="22.5" customHeight="1">
      <c r="B3" s="576" t="s">
        <v>199</v>
      </c>
      <c r="C3" s="573" t="s">
        <v>200</v>
      </c>
      <c r="D3" s="573" t="s">
        <v>201</v>
      </c>
      <c r="E3" s="570" t="s">
        <v>202</v>
      </c>
      <c r="F3" s="579" t="s">
        <v>398</v>
      </c>
      <c r="G3" s="579"/>
      <c r="H3" s="579"/>
      <c r="I3" s="579"/>
      <c r="J3" s="579"/>
      <c r="K3" s="580"/>
    </row>
    <row r="4" spans="2:11" s="5" customFormat="1" ht="18.75" customHeight="1">
      <c r="B4" s="577"/>
      <c r="C4" s="574"/>
      <c r="D4" s="574"/>
      <c r="E4" s="571"/>
      <c r="F4" s="382" t="s">
        <v>313</v>
      </c>
      <c r="G4" s="581" t="s">
        <v>314</v>
      </c>
      <c r="H4" s="582"/>
      <c r="I4" s="432" t="s">
        <v>396</v>
      </c>
      <c r="J4" s="432" t="s">
        <v>397</v>
      </c>
      <c r="K4" s="433" t="s">
        <v>399</v>
      </c>
    </row>
    <row r="5" spans="2:11" s="5" customFormat="1">
      <c r="B5" s="578"/>
      <c r="C5" s="575"/>
      <c r="D5" s="575"/>
      <c r="E5" s="572"/>
      <c r="F5" s="376" t="s">
        <v>313</v>
      </c>
      <c r="G5" s="379" t="s">
        <v>315</v>
      </c>
      <c r="H5" s="431" t="s">
        <v>316</v>
      </c>
      <c r="I5" s="431" t="s">
        <v>565</v>
      </c>
      <c r="J5" s="431" t="s">
        <v>566</v>
      </c>
      <c r="K5" s="469" t="s">
        <v>400</v>
      </c>
    </row>
    <row r="6" spans="2:11" ht="42" customHeight="1">
      <c r="B6" s="11" t="s">
        <v>253</v>
      </c>
      <c r="C6" s="12" t="s">
        <v>254</v>
      </c>
      <c r="D6" s="12" t="s">
        <v>255</v>
      </c>
      <c r="E6" s="13">
        <v>0.6</v>
      </c>
      <c r="F6" s="13" t="s">
        <v>256</v>
      </c>
      <c r="G6" s="380"/>
      <c r="H6" s="380"/>
      <c r="I6" s="380"/>
      <c r="J6" s="380"/>
      <c r="K6" s="14"/>
    </row>
    <row r="7" spans="2:11" ht="42" customHeight="1">
      <c r="B7" s="11" t="s">
        <v>257</v>
      </c>
      <c r="C7" s="12" t="s">
        <v>254</v>
      </c>
      <c r="D7" s="12" t="s">
        <v>258</v>
      </c>
      <c r="E7" s="13">
        <v>0.3</v>
      </c>
      <c r="F7" s="13"/>
      <c r="G7" s="380"/>
      <c r="H7" s="380"/>
      <c r="I7" s="13" t="s">
        <v>256</v>
      </c>
      <c r="J7" s="380"/>
      <c r="K7" s="14"/>
    </row>
    <row r="8" spans="2:11" ht="42" customHeight="1" thickBot="1">
      <c r="B8" s="15" t="s">
        <v>259</v>
      </c>
      <c r="C8" s="16" t="s">
        <v>254</v>
      </c>
      <c r="D8" s="16" t="s">
        <v>260</v>
      </c>
      <c r="E8" s="17">
        <v>0.1</v>
      </c>
      <c r="F8" s="17"/>
      <c r="G8" s="381"/>
      <c r="H8" s="381"/>
      <c r="I8" s="381"/>
      <c r="J8" s="17" t="s">
        <v>256</v>
      </c>
      <c r="K8" s="18"/>
    </row>
    <row r="9" spans="2:11" ht="7.5" customHeight="1"/>
    <row r="10" spans="2:11" s="5" customFormat="1" ht="29.25" customHeight="1">
      <c r="B10" s="146" t="s">
        <v>262</v>
      </c>
      <c r="G10" s="5" t="s">
        <v>503</v>
      </c>
    </row>
    <row r="11" spans="2:11" ht="41.25" customHeight="1">
      <c r="B11" s="566" t="s">
        <v>288</v>
      </c>
      <c r="C11" s="566"/>
      <c r="D11" s="566"/>
      <c r="E11" s="566"/>
      <c r="F11" s="566"/>
      <c r="G11" s="566"/>
      <c r="H11" s="566"/>
      <c r="I11" s="566"/>
      <c r="J11" s="566"/>
      <c r="K11" s="566"/>
    </row>
    <row r="12" spans="2:11" ht="27.75" customHeight="1">
      <c r="B12" s="567" t="s">
        <v>287</v>
      </c>
      <c r="C12" s="567"/>
      <c r="D12" s="567"/>
      <c r="E12" s="567"/>
      <c r="F12" s="567"/>
      <c r="G12" s="567"/>
      <c r="H12" s="567"/>
      <c r="I12" s="567"/>
      <c r="J12" s="567"/>
      <c r="K12" s="567"/>
    </row>
    <row r="13" spans="2:11" ht="41.25" customHeight="1">
      <c r="B13" s="568" t="s">
        <v>289</v>
      </c>
      <c r="C13" s="567"/>
      <c r="D13" s="567"/>
      <c r="E13" s="567"/>
      <c r="F13" s="567"/>
      <c r="G13" s="567"/>
      <c r="H13" s="567"/>
      <c r="I13" s="567"/>
      <c r="J13" s="567"/>
      <c r="K13" s="567"/>
    </row>
  </sheetData>
  <mergeCells count="10">
    <mergeCell ref="B11:K11"/>
    <mergeCell ref="B12:K12"/>
    <mergeCell ref="B13:K13"/>
    <mergeCell ref="B1:K1"/>
    <mergeCell ref="E3:E5"/>
    <mergeCell ref="D3:D5"/>
    <mergeCell ref="C3:C5"/>
    <mergeCell ref="B3:B5"/>
    <mergeCell ref="F3:K3"/>
    <mergeCell ref="G4:H4"/>
  </mergeCells>
  <phoneticPr fontId="2" type="noConversion"/>
  <printOptions horizontalCentered="1"/>
  <pageMargins left="0.59055118110236227" right="0.59055118110236227" top="0.78740157480314965" bottom="0.78740157480314965" header="0.19685039370078741" footer="0.19685039370078741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view="pageBreakPreview" zoomScaleSheetLayoutView="100" workbookViewId="0">
      <selection activeCell="G7" sqref="G7"/>
    </sheetView>
  </sheetViews>
  <sheetFormatPr defaultColWidth="9" defaultRowHeight="16.5"/>
  <cols>
    <col min="1" max="1" width="1.25" style="5" customWidth="1"/>
    <col min="2" max="2" width="9.375" style="5" customWidth="1"/>
    <col min="3" max="3" width="12.375" style="5" bestFit="1" customWidth="1"/>
    <col min="4" max="4" width="7.125" style="5" bestFit="1" customWidth="1"/>
    <col min="5" max="5" width="16.25" style="5" customWidth="1"/>
    <col min="6" max="6" width="17.25" style="5" customWidth="1"/>
    <col min="7" max="7" width="11" style="5" customWidth="1"/>
    <col min="8" max="9" width="11.625" style="5" customWidth="1"/>
    <col min="10" max="10" width="15.125" style="5" customWidth="1"/>
    <col min="11" max="11" width="9.5" style="5" customWidth="1"/>
    <col min="12" max="12" width="1.25" style="5" customWidth="1"/>
    <col min="13" max="16384" width="9" style="5"/>
  </cols>
  <sheetData>
    <row r="1" spans="2:14" ht="22.5" customHeight="1">
      <c r="B1" s="569" t="s">
        <v>508</v>
      </c>
      <c r="C1" s="569"/>
      <c r="D1" s="569"/>
      <c r="E1" s="569"/>
      <c r="F1" s="569"/>
      <c r="G1" s="569"/>
      <c r="H1" s="569"/>
      <c r="I1" s="569"/>
      <c r="J1" s="569"/>
      <c r="K1" s="569"/>
    </row>
    <row r="2" spans="2:14" ht="22.5" customHeight="1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4" ht="22.5" customHeight="1">
      <c r="B3" s="576" t="s">
        <v>33</v>
      </c>
      <c r="C3" s="570" t="s">
        <v>34</v>
      </c>
      <c r="D3" s="573" t="s">
        <v>35</v>
      </c>
      <c r="E3" s="570" t="s">
        <v>36</v>
      </c>
      <c r="F3" s="570" t="s">
        <v>386</v>
      </c>
      <c r="G3" s="375" t="s">
        <v>178</v>
      </c>
      <c r="H3" s="570" t="s">
        <v>37</v>
      </c>
      <c r="I3" s="570"/>
      <c r="J3" s="570" t="s">
        <v>38</v>
      </c>
      <c r="K3" s="586" t="s">
        <v>13</v>
      </c>
    </row>
    <row r="4" spans="2:14" ht="27.75" thickBot="1">
      <c r="B4" s="578"/>
      <c r="C4" s="588"/>
      <c r="D4" s="588"/>
      <c r="E4" s="589"/>
      <c r="F4" s="589"/>
      <c r="G4" s="377" t="s">
        <v>179</v>
      </c>
      <c r="H4" s="377" t="s">
        <v>39</v>
      </c>
      <c r="I4" s="377" t="s">
        <v>40</v>
      </c>
      <c r="J4" s="589"/>
      <c r="K4" s="587"/>
    </row>
    <row r="5" spans="2:14" ht="52.9" customHeight="1">
      <c r="B5" s="494" t="s">
        <v>509</v>
      </c>
      <c r="C5" s="493" t="s">
        <v>510</v>
      </c>
      <c r="D5" s="491" t="s">
        <v>154</v>
      </c>
      <c r="E5" s="189" t="s">
        <v>384</v>
      </c>
      <c r="F5" s="314">
        <v>630416</v>
      </c>
      <c r="G5" s="176">
        <v>0</v>
      </c>
      <c r="H5" s="474" t="s">
        <v>406</v>
      </c>
      <c r="I5" s="176" t="s">
        <v>263</v>
      </c>
      <c r="J5" s="177" t="s">
        <v>264</v>
      </c>
      <c r="K5" s="174"/>
    </row>
    <row r="6" spans="2:14" ht="42" customHeight="1" thickBot="1">
      <c r="B6" s="590" t="s">
        <v>511</v>
      </c>
      <c r="C6" s="496" t="s">
        <v>510</v>
      </c>
      <c r="D6" s="442" t="s">
        <v>155</v>
      </c>
      <c r="E6" s="170" t="s">
        <v>385</v>
      </c>
      <c r="F6" s="462" t="s">
        <v>387</v>
      </c>
      <c r="G6" s="87">
        <v>0</v>
      </c>
      <c r="H6" s="475" t="s">
        <v>407</v>
      </c>
      <c r="I6" s="87" t="s">
        <v>263</v>
      </c>
      <c r="J6" s="178" t="s">
        <v>264</v>
      </c>
      <c r="K6" s="174"/>
    </row>
    <row r="7" spans="2:14" ht="42" customHeight="1" thickBot="1">
      <c r="B7" s="591"/>
      <c r="C7" s="496" t="s">
        <v>512</v>
      </c>
      <c r="D7" s="442" t="s">
        <v>388</v>
      </c>
      <c r="E7" s="170" t="s">
        <v>441</v>
      </c>
      <c r="F7" s="462" t="s">
        <v>387</v>
      </c>
      <c r="G7" s="87">
        <v>0</v>
      </c>
      <c r="H7" s="475" t="s">
        <v>407</v>
      </c>
      <c r="I7" s="87" t="s">
        <v>390</v>
      </c>
      <c r="J7" s="178" t="s">
        <v>394</v>
      </c>
      <c r="K7" s="174"/>
      <c r="N7" s="463"/>
    </row>
    <row r="8" spans="2:14" ht="42" customHeight="1">
      <c r="B8" s="592"/>
      <c r="C8" s="496" t="s">
        <v>513</v>
      </c>
      <c r="D8" s="442" t="s">
        <v>389</v>
      </c>
      <c r="E8" s="170" t="s">
        <v>497</v>
      </c>
      <c r="F8" s="462" t="s">
        <v>387</v>
      </c>
      <c r="G8" s="87">
        <v>0</v>
      </c>
      <c r="H8" s="475" t="s">
        <v>405</v>
      </c>
      <c r="I8" s="87" t="s">
        <v>391</v>
      </c>
      <c r="J8" s="178" t="s">
        <v>393</v>
      </c>
      <c r="K8" s="174"/>
    </row>
    <row r="9" spans="2:14" ht="42" customHeight="1">
      <c r="B9" s="583" t="s">
        <v>514</v>
      </c>
      <c r="C9" s="492" t="s">
        <v>515</v>
      </c>
      <c r="D9" s="442" t="s">
        <v>156</v>
      </c>
      <c r="E9" s="170" t="s">
        <v>385</v>
      </c>
      <c r="F9" s="462" t="s">
        <v>387</v>
      </c>
      <c r="G9" s="87">
        <v>0</v>
      </c>
      <c r="H9" s="475" t="s">
        <v>407</v>
      </c>
      <c r="I9" s="87" t="s">
        <v>392</v>
      </c>
      <c r="J9" s="178" t="s">
        <v>264</v>
      </c>
      <c r="K9" s="175"/>
    </row>
    <row r="10" spans="2:14" ht="42" customHeight="1">
      <c r="B10" s="584"/>
      <c r="C10" s="496" t="s">
        <v>516</v>
      </c>
      <c r="D10" s="442" t="s">
        <v>319</v>
      </c>
      <c r="E10" s="170" t="s">
        <v>441</v>
      </c>
      <c r="F10" s="462" t="s">
        <v>387</v>
      </c>
      <c r="G10" s="87">
        <v>0</v>
      </c>
      <c r="H10" s="475" t="s">
        <v>405</v>
      </c>
      <c r="I10" s="87" t="s">
        <v>263</v>
      </c>
      <c r="J10" s="178" t="s">
        <v>395</v>
      </c>
      <c r="K10" s="174"/>
    </row>
    <row r="11" spans="2:14" ht="42" customHeight="1" thickBot="1">
      <c r="B11" s="585"/>
      <c r="C11" s="264"/>
      <c r="D11" s="490"/>
      <c r="E11" s="465"/>
      <c r="F11" s="466"/>
      <c r="G11" s="467"/>
      <c r="H11" s="476"/>
      <c r="I11" s="467"/>
      <c r="J11" s="468"/>
      <c r="K11" s="495"/>
    </row>
    <row r="12" spans="2:14" ht="12" customHeight="1"/>
  </sheetData>
  <mergeCells count="11">
    <mergeCell ref="B9:B11"/>
    <mergeCell ref="K3:K4"/>
    <mergeCell ref="B1:K1"/>
    <mergeCell ref="B3:B4"/>
    <mergeCell ref="C3:C4"/>
    <mergeCell ref="D3:D4"/>
    <mergeCell ref="E3:E4"/>
    <mergeCell ref="F3:F4"/>
    <mergeCell ref="H3:I3"/>
    <mergeCell ref="J3:J4"/>
    <mergeCell ref="B6:B8"/>
  </mergeCells>
  <phoneticPr fontId="8" type="noConversion"/>
  <printOptions horizontalCentered="1"/>
  <pageMargins left="0.59055118110236227" right="0.59055118110236227" top="0.78740157480314965" bottom="0.78740157480314965" header="0.19685039370078741" footer="0.19685039370078741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SheetLayoutView="100" workbookViewId="0">
      <pane ySplit="1" topLeftCell="A2" activePane="bottomLeft" state="frozen"/>
      <selection pane="bottomLeft" activeCell="G20" sqref="G20"/>
    </sheetView>
  </sheetViews>
  <sheetFormatPr defaultRowHeight="16.5"/>
  <cols>
    <col min="1" max="1" width="1.25" style="5" customWidth="1"/>
    <col min="2" max="2" width="8.875" style="1" customWidth="1"/>
    <col min="3" max="3" width="9.625" style="1" customWidth="1"/>
    <col min="4" max="4" width="20.625" style="1" customWidth="1"/>
    <col min="5" max="5" width="24.25" style="1" customWidth="1"/>
    <col min="6" max="7" width="9" style="1" customWidth="1"/>
    <col min="8" max="8" width="6.75" style="1" customWidth="1"/>
    <col min="9" max="9" width="1.25" customWidth="1"/>
  </cols>
  <sheetData>
    <row r="1" spans="2:8" ht="30" customHeight="1">
      <c r="B1" s="569" t="s">
        <v>203</v>
      </c>
      <c r="C1" s="569"/>
      <c r="D1" s="569"/>
      <c r="E1" s="569"/>
      <c r="F1" s="569"/>
      <c r="G1" s="569"/>
      <c r="H1" s="569"/>
    </row>
    <row r="2" spans="2:8" s="5" customFormat="1" ht="15.75" customHeight="1" thickBot="1">
      <c r="B2" s="6"/>
      <c r="C2" s="6"/>
      <c r="D2" s="6"/>
      <c r="E2" s="6"/>
      <c r="F2" s="6"/>
      <c r="G2" s="6"/>
      <c r="H2" s="1"/>
    </row>
    <row r="3" spans="2:8" ht="22.5" customHeight="1">
      <c r="B3" s="19" t="s">
        <v>8</v>
      </c>
      <c r="C3" s="20" t="s">
        <v>9</v>
      </c>
      <c r="D3" s="573" t="s">
        <v>10</v>
      </c>
      <c r="E3" s="573"/>
      <c r="F3" s="20" t="s">
        <v>11</v>
      </c>
      <c r="G3" s="20" t="s">
        <v>12</v>
      </c>
      <c r="H3" s="21" t="s">
        <v>13</v>
      </c>
    </row>
    <row r="4" spans="2:8" ht="22.5" customHeight="1">
      <c r="B4" s="600" t="s">
        <v>520</v>
      </c>
      <c r="C4" s="601" t="s">
        <v>517</v>
      </c>
      <c r="D4" s="22" t="s">
        <v>14</v>
      </c>
      <c r="E4" s="378" t="s">
        <v>518</v>
      </c>
      <c r="F4" s="23" t="s">
        <v>15</v>
      </c>
      <c r="G4" s="74"/>
      <c r="H4" s="24"/>
    </row>
    <row r="5" spans="2:8" ht="23.25" customHeight="1">
      <c r="B5" s="600"/>
      <c r="C5" s="601"/>
      <c r="D5" s="514" t="s">
        <v>443</v>
      </c>
      <c r="E5" s="405" t="s">
        <v>312</v>
      </c>
      <c r="F5" s="403">
        <v>12</v>
      </c>
      <c r="G5" s="138" t="str">
        <f>'가.개인별 경력 및 실적목록'!F5</f>
        <v>12</v>
      </c>
      <c r="H5" s="24"/>
    </row>
    <row r="6" spans="2:8" ht="22.5" customHeight="1">
      <c r="B6" s="600"/>
      <c r="C6" s="601"/>
      <c r="D6" s="602" t="s">
        <v>18</v>
      </c>
      <c r="E6" s="22" t="s">
        <v>19</v>
      </c>
      <c r="F6" s="403">
        <v>6</v>
      </c>
      <c r="G6" s="138" t="str">
        <f>'가.개인별 경력 및 실적목록'!H5</f>
        <v>6</v>
      </c>
      <c r="H6" s="24"/>
    </row>
    <row r="7" spans="2:8" ht="22.5" customHeight="1">
      <c r="B7" s="600"/>
      <c r="C7" s="601"/>
      <c r="D7" s="602"/>
      <c r="E7" s="22" t="s">
        <v>20</v>
      </c>
      <c r="F7" s="403">
        <v>3</v>
      </c>
      <c r="G7" s="138" t="str">
        <f>'가.개인별 경력 및 실적목록'!J5</f>
        <v>3</v>
      </c>
      <c r="H7" s="24"/>
    </row>
    <row r="8" spans="2:8" ht="22.5" customHeight="1">
      <c r="B8" s="600"/>
      <c r="C8" s="601"/>
      <c r="D8" s="602" t="s">
        <v>444</v>
      </c>
      <c r="E8" s="76" t="s">
        <v>204</v>
      </c>
      <c r="F8" s="403">
        <v>0.5</v>
      </c>
      <c r="G8" s="502">
        <f>'가.교육훈련 이수 및 기술자격현황'!I7</f>
        <v>0.5</v>
      </c>
      <c r="H8" s="24"/>
    </row>
    <row r="9" spans="2:8" ht="22.5" customHeight="1">
      <c r="B9" s="600"/>
      <c r="C9" s="601"/>
      <c r="D9" s="602"/>
      <c r="E9" s="435" t="s">
        <v>519</v>
      </c>
      <c r="F9" s="403">
        <v>0.5</v>
      </c>
      <c r="G9" s="488" t="str">
        <f>'가.교육훈련 이수 및 기술자격현황'!I23</f>
        <v>0.5</v>
      </c>
      <c r="H9" s="24"/>
    </row>
    <row r="10" spans="2:8" ht="22.5" customHeight="1">
      <c r="B10" s="600"/>
      <c r="C10" s="601"/>
      <c r="D10" s="603" t="s">
        <v>370</v>
      </c>
      <c r="E10" s="603"/>
      <c r="F10" s="509">
        <f>SUM(F4:F9)</f>
        <v>22</v>
      </c>
      <c r="G10" s="417">
        <f>G5+G6+G7+G8+G9</f>
        <v>22</v>
      </c>
      <c r="H10" s="418"/>
    </row>
    <row r="11" spans="2:8" ht="22.5" customHeight="1">
      <c r="B11" s="600"/>
      <c r="C11" s="601" t="s">
        <v>525</v>
      </c>
      <c r="D11" s="22" t="s">
        <v>14</v>
      </c>
      <c r="E11" s="404" t="s">
        <v>524</v>
      </c>
      <c r="F11" s="23" t="s">
        <v>15</v>
      </c>
      <c r="G11" s="139"/>
      <c r="H11" s="24"/>
    </row>
    <row r="12" spans="2:8" ht="24" customHeight="1">
      <c r="B12" s="600"/>
      <c r="C12" s="601"/>
      <c r="D12" s="22" t="s">
        <v>16</v>
      </c>
      <c r="E12" s="437" t="s">
        <v>312</v>
      </c>
      <c r="F12" s="403">
        <v>13.5</v>
      </c>
      <c r="G12" s="139">
        <f>'가.개인별 경력 및 실적목록'!F9</f>
        <v>13.5</v>
      </c>
      <c r="H12" s="24"/>
    </row>
    <row r="13" spans="2:8" ht="22.5" customHeight="1">
      <c r="B13" s="600"/>
      <c r="C13" s="601"/>
      <c r="D13" s="602" t="s">
        <v>18</v>
      </c>
      <c r="E13" s="22" t="s">
        <v>19</v>
      </c>
      <c r="F13" s="403">
        <v>6</v>
      </c>
      <c r="G13" s="139">
        <f>'가.개인별 경력 및 실적목록'!H9</f>
        <v>6</v>
      </c>
      <c r="H13" s="24"/>
    </row>
    <row r="14" spans="2:8" ht="22.5" customHeight="1">
      <c r="B14" s="600"/>
      <c r="C14" s="601"/>
      <c r="D14" s="602"/>
      <c r="E14" s="22" t="s">
        <v>20</v>
      </c>
      <c r="F14" s="403">
        <v>3</v>
      </c>
      <c r="G14" s="139">
        <f>'가.개인별 경력 및 실적목록'!J9</f>
        <v>3</v>
      </c>
      <c r="H14" s="24"/>
    </row>
    <row r="15" spans="2:8" s="5" customFormat="1" ht="22.5" customHeight="1">
      <c r="B15" s="600"/>
      <c r="C15" s="601"/>
      <c r="D15" s="486" t="s">
        <v>21</v>
      </c>
      <c r="E15" s="435" t="s">
        <v>22</v>
      </c>
      <c r="F15" s="403">
        <v>1</v>
      </c>
      <c r="G15" s="138">
        <f>'가.교육훈련 이수 및 기술자격현황'!I14</f>
        <v>1</v>
      </c>
      <c r="H15" s="24"/>
    </row>
    <row r="16" spans="2:8" ht="22.5" customHeight="1">
      <c r="B16" s="600"/>
      <c r="C16" s="601"/>
      <c r="D16" s="603" t="s">
        <v>370</v>
      </c>
      <c r="E16" s="603"/>
      <c r="F16" s="509">
        <f>SUM(F11:F15)</f>
        <v>23.5</v>
      </c>
      <c r="G16" s="417">
        <f>G12+G13+G14+G15</f>
        <v>23.5</v>
      </c>
      <c r="H16" s="418"/>
    </row>
    <row r="17" spans="2:8" ht="27">
      <c r="B17" s="600"/>
      <c r="C17" s="601" t="s">
        <v>526</v>
      </c>
      <c r="D17" s="22" t="s">
        <v>14</v>
      </c>
      <c r="E17" s="437" t="s">
        <v>433</v>
      </c>
      <c r="F17" s="403">
        <v>3</v>
      </c>
      <c r="G17" s="139">
        <f>'가.교육훈련 이수 및 기술자격현황'!I25</f>
        <v>3</v>
      </c>
      <c r="H17" s="24"/>
    </row>
    <row r="18" spans="2:8" ht="27">
      <c r="B18" s="600"/>
      <c r="C18" s="601"/>
      <c r="D18" s="22" t="s">
        <v>16</v>
      </c>
      <c r="E18" s="25" t="s">
        <v>17</v>
      </c>
      <c r="F18" s="403">
        <v>6</v>
      </c>
      <c r="G18" s="139">
        <f>'가.개인별 경력 및 실적목록'!F13</f>
        <v>4.2</v>
      </c>
      <c r="H18" s="24"/>
    </row>
    <row r="19" spans="2:8" ht="22.5" customHeight="1">
      <c r="B19" s="600"/>
      <c r="C19" s="601"/>
      <c r="D19" s="602" t="s">
        <v>21</v>
      </c>
      <c r="E19" s="22" t="s">
        <v>22</v>
      </c>
      <c r="F19" s="403">
        <v>0.5</v>
      </c>
      <c r="G19" s="139">
        <f>'가.교육훈련 이수 및 기술자격현황'!I19</f>
        <v>0.5</v>
      </c>
      <c r="H19" s="24"/>
    </row>
    <row r="20" spans="2:8" ht="22.5" customHeight="1">
      <c r="B20" s="600"/>
      <c r="C20" s="601"/>
      <c r="D20" s="602"/>
      <c r="E20" s="435" t="s">
        <v>421</v>
      </c>
      <c r="F20" s="403">
        <v>0.5</v>
      </c>
      <c r="G20" s="139">
        <f>'가.교육훈련 이수 및 기술자격현황'!I24</f>
        <v>0.5</v>
      </c>
      <c r="H20" s="24"/>
    </row>
    <row r="21" spans="2:8" ht="22.5" customHeight="1">
      <c r="B21" s="600"/>
      <c r="C21" s="601"/>
      <c r="D21" s="603" t="s">
        <v>370</v>
      </c>
      <c r="E21" s="603"/>
      <c r="F21" s="509">
        <f>SUM(F17:F20)</f>
        <v>10</v>
      </c>
      <c r="G21" s="421">
        <f>G17+G18+G19+G20</f>
        <v>8.1999999999999993</v>
      </c>
      <c r="H21" s="418"/>
    </row>
    <row r="22" spans="2:8" s="5" customFormat="1" ht="22.5" customHeight="1">
      <c r="B22" s="600"/>
      <c r="C22" s="604" t="s">
        <v>442</v>
      </c>
      <c r="D22" s="593" t="s">
        <v>522</v>
      </c>
      <c r="E22" s="594"/>
      <c r="F22" s="84">
        <v>3</v>
      </c>
      <c r="G22" s="140" t="s">
        <v>377</v>
      </c>
      <c r="H22" s="24"/>
    </row>
    <row r="23" spans="2:8" s="5" customFormat="1" ht="22.5" customHeight="1">
      <c r="B23" s="600"/>
      <c r="C23" s="605"/>
      <c r="D23" s="595" t="s">
        <v>523</v>
      </c>
      <c r="E23" s="596"/>
      <c r="F23" s="84">
        <v>1.5</v>
      </c>
      <c r="G23" s="140" t="s">
        <v>377</v>
      </c>
      <c r="H23" s="24"/>
    </row>
    <row r="24" spans="2:8" s="5" customFormat="1" ht="22.5" customHeight="1">
      <c r="B24" s="600"/>
      <c r="C24" s="606"/>
      <c r="D24" s="603" t="s">
        <v>370</v>
      </c>
      <c r="E24" s="603"/>
      <c r="F24" s="509">
        <f>SUM(F22:F23)</f>
        <v>4.5</v>
      </c>
      <c r="G24" s="419"/>
      <c r="H24" s="420" t="s">
        <v>374</v>
      </c>
    </row>
    <row r="25" spans="2:8" s="5" customFormat="1" ht="22.5" customHeight="1">
      <c r="B25" s="600"/>
      <c r="C25" s="597" t="s">
        <v>375</v>
      </c>
      <c r="D25" s="598"/>
      <c r="E25" s="599"/>
      <c r="F25" s="515">
        <f>F10+F16+F21+F24</f>
        <v>60</v>
      </c>
      <c r="G25" s="415">
        <f>G10+G16+G21+G24</f>
        <v>53.7</v>
      </c>
      <c r="H25" s="413"/>
    </row>
    <row r="26" spans="2:8" ht="58.5" customHeight="1">
      <c r="B26" s="75" t="s">
        <v>185</v>
      </c>
      <c r="C26" s="510" t="s">
        <v>527</v>
      </c>
      <c r="D26" s="609" t="s">
        <v>24</v>
      </c>
      <c r="E26" s="610"/>
      <c r="F26" s="511">
        <v>10</v>
      </c>
      <c r="G26" s="512" t="str">
        <f>'나.유사용역사업 수행실적'!J8</f>
        <v>6</v>
      </c>
      <c r="H26" s="513"/>
    </row>
    <row r="27" spans="2:8" ht="54">
      <c r="B27" s="600" t="s">
        <v>25</v>
      </c>
      <c r="C27" s="510" t="s">
        <v>26</v>
      </c>
      <c r="D27" s="611" t="s">
        <v>528</v>
      </c>
      <c r="E27" s="612"/>
      <c r="F27" s="84">
        <v>7</v>
      </c>
      <c r="G27" s="140">
        <f>F27-다.신용도!G7</f>
        <v>6.4</v>
      </c>
      <c r="H27" s="513"/>
    </row>
    <row r="28" spans="2:8" ht="27">
      <c r="B28" s="600"/>
      <c r="C28" s="510" t="s">
        <v>27</v>
      </c>
      <c r="D28" s="609" t="s">
        <v>371</v>
      </c>
      <c r="E28" s="610"/>
      <c r="F28" s="84">
        <v>5</v>
      </c>
      <c r="G28" s="140">
        <f>F28-다.신용도!G13</f>
        <v>2</v>
      </c>
      <c r="H28" s="513"/>
    </row>
    <row r="29" spans="2:8" ht="40.5">
      <c r="B29" s="600"/>
      <c r="C29" s="510" t="s">
        <v>28</v>
      </c>
      <c r="D29" s="609" t="s">
        <v>311</v>
      </c>
      <c r="E29" s="610"/>
      <c r="F29" s="84">
        <v>3</v>
      </c>
      <c r="G29" s="140">
        <f>다.신용도!G17</f>
        <v>2.88</v>
      </c>
      <c r="H29" s="513"/>
    </row>
    <row r="30" spans="2:8" ht="22.5" customHeight="1">
      <c r="B30" s="600"/>
      <c r="C30" s="607" t="s">
        <v>375</v>
      </c>
      <c r="D30" s="607"/>
      <c r="E30" s="607"/>
      <c r="F30" s="414">
        <f>SUM(F27:F29)</f>
        <v>15</v>
      </c>
      <c r="G30" s="415">
        <f>G27+G28+G29</f>
        <v>11.280000000000001</v>
      </c>
      <c r="H30" s="413"/>
    </row>
    <row r="31" spans="2:8" ht="27">
      <c r="B31" s="600" t="s">
        <v>186</v>
      </c>
      <c r="C31" s="26" t="s">
        <v>29</v>
      </c>
      <c r="D31" s="601" t="s">
        <v>309</v>
      </c>
      <c r="E31" s="608"/>
      <c r="F31" s="23">
        <v>3</v>
      </c>
      <c r="G31" s="139">
        <f>'라.기술개발 및 투자실적'!I7</f>
        <v>1.8300000000000003</v>
      </c>
      <c r="H31" s="24"/>
    </row>
    <row r="32" spans="2:8" ht="27">
      <c r="B32" s="600"/>
      <c r="C32" s="26" t="s">
        <v>30</v>
      </c>
      <c r="D32" s="601" t="s">
        <v>31</v>
      </c>
      <c r="E32" s="608"/>
      <c r="F32" s="23">
        <v>7</v>
      </c>
      <c r="G32" s="139" t="str">
        <f>'라.기술개발 및 투자실적'!O80</f>
        <v>6.4</v>
      </c>
      <c r="H32" s="24"/>
    </row>
    <row r="33" spans="2:8" ht="22.5" customHeight="1">
      <c r="B33" s="600"/>
      <c r="C33" s="607" t="s">
        <v>375</v>
      </c>
      <c r="D33" s="607"/>
      <c r="E33" s="607"/>
      <c r="F33" s="414">
        <f>SUM(F31:F32)</f>
        <v>10</v>
      </c>
      <c r="G33" s="416">
        <f>G31+G32</f>
        <v>8.23</v>
      </c>
      <c r="H33" s="413"/>
    </row>
    <row r="34" spans="2:8" ht="40.5">
      <c r="B34" s="600" t="s">
        <v>32</v>
      </c>
      <c r="C34" s="83" t="s">
        <v>529</v>
      </c>
      <c r="D34" s="614" t="s">
        <v>372</v>
      </c>
      <c r="E34" s="614"/>
      <c r="F34" s="23">
        <v>3</v>
      </c>
      <c r="G34" s="139" t="str">
        <f>바.교체빈도!J11</f>
        <v>3</v>
      </c>
      <c r="H34" s="24"/>
    </row>
    <row r="35" spans="2:8" ht="27">
      <c r="B35" s="600"/>
      <c r="C35" s="83" t="s">
        <v>373</v>
      </c>
      <c r="D35" s="614" t="s">
        <v>310</v>
      </c>
      <c r="E35" s="614"/>
      <c r="F35" s="23">
        <v>2</v>
      </c>
      <c r="G35" s="139">
        <f>바.교체빈도!H24</f>
        <v>1.4</v>
      </c>
      <c r="H35" s="24"/>
    </row>
    <row r="36" spans="2:8" ht="22.5" customHeight="1">
      <c r="B36" s="600"/>
      <c r="C36" s="613" t="s">
        <v>3</v>
      </c>
      <c r="D36" s="613"/>
      <c r="E36" s="613"/>
      <c r="F36" s="414">
        <f>SUM(F34:F35)</f>
        <v>5</v>
      </c>
      <c r="G36" s="416">
        <f>G34+G35</f>
        <v>4.4000000000000004</v>
      </c>
      <c r="H36" s="413"/>
    </row>
    <row r="37" spans="2:8" ht="22.5" customHeight="1" thickBot="1">
      <c r="B37" s="620" t="s">
        <v>376</v>
      </c>
      <c r="C37" s="621"/>
      <c r="D37" s="621"/>
      <c r="E37" s="621"/>
      <c r="F37" s="422">
        <f>F25+F26+F30+F33+F36</f>
        <v>100</v>
      </c>
      <c r="G37" s="423">
        <f>G25+G26+G30+G33+G36</f>
        <v>83.610000000000014</v>
      </c>
      <c r="H37" s="424"/>
    </row>
    <row r="38" spans="2:8" ht="7.5" customHeight="1" thickBot="1"/>
    <row r="39" spans="2:8">
      <c r="B39" s="615" t="s">
        <v>272</v>
      </c>
      <c r="C39" s="624" t="s">
        <v>269</v>
      </c>
      <c r="D39" s="618" t="s">
        <v>531</v>
      </c>
      <c r="E39" s="618"/>
      <c r="F39" s="164">
        <v>0.2</v>
      </c>
      <c r="G39" s="165">
        <f>'공사비절감기여 기술자'!J13</f>
        <v>0.21000000000000002</v>
      </c>
      <c r="H39" s="166"/>
    </row>
    <row r="40" spans="2:8" s="5" customFormat="1">
      <c r="B40" s="616"/>
      <c r="C40" s="606"/>
      <c r="D40" s="622" t="s">
        <v>530</v>
      </c>
      <c r="E40" s="623"/>
      <c r="F40" s="163">
        <v>0.3</v>
      </c>
      <c r="G40" s="517" t="e">
        <f>'건설기술인 신규고용'!R5</f>
        <v>#DIV/0!</v>
      </c>
      <c r="H40" s="518"/>
    </row>
    <row r="41" spans="2:8">
      <c r="B41" s="600"/>
      <c r="C41" s="150" t="s">
        <v>270</v>
      </c>
      <c r="D41" s="608" t="s">
        <v>271</v>
      </c>
      <c r="E41" s="608"/>
      <c r="F41" s="149">
        <v>5</v>
      </c>
      <c r="G41" s="139">
        <f>'부패행위 관련자'!E12</f>
        <v>0</v>
      </c>
      <c r="H41" s="24"/>
    </row>
    <row r="42" spans="2:8" ht="17.25" thickBot="1">
      <c r="B42" s="617"/>
      <c r="C42" s="619" t="s">
        <v>3</v>
      </c>
      <c r="D42" s="619"/>
      <c r="E42" s="619"/>
      <c r="F42" s="167"/>
      <c r="G42" s="168" t="e">
        <f>SUM(G39:G41)</f>
        <v>#DIV/0!</v>
      </c>
      <c r="H42" s="27"/>
    </row>
  </sheetData>
  <mergeCells count="39">
    <mergeCell ref="B34:B36"/>
    <mergeCell ref="C36:E36"/>
    <mergeCell ref="D35:E35"/>
    <mergeCell ref="D34:E34"/>
    <mergeCell ref="B39:B42"/>
    <mergeCell ref="D39:E39"/>
    <mergeCell ref="D41:E41"/>
    <mergeCell ref="C42:E42"/>
    <mergeCell ref="B37:E37"/>
    <mergeCell ref="D40:E40"/>
    <mergeCell ref="C39:C40"/>
    <mergeCell ref="C4:C10"/>
    <mergeCell ref="D10:E10"/>
    <mergeCell ref="C33:E33"/>
    <mergeCell ref="B31:B33"/>
    <mergeCell ref="D31:E31"/>
    <mergeCell ref="D32:E32"/>
    <mergeCell ref="D26:E26"/>
    <mergeCell ref="D27:E27"/>
    <mergeCell ref="D28:E28"/>
    <mergeCell ref="D29:E29"/>
    <mergeCell ref="B27:B30"/>
    <mergeCell ref="C30:E30"/>
    <mergeCell ref="B1:H1"/>
    <mergeCell ref="D3:E3"/>
    <mergeCell ref="D22:E22"/>
    <mergeCell ref="D23:E23"/>
    <mergeCell ref="C25:E25"/>
    <mergeCell ref="B4:B25"/>
    <mergeCell ref="C11:C16"/>
    <mergeCell ref="D13:D14"/>
    <mergeCell ref="C17:C21"/>
    <mergeCell ref="D19:D20"/>
    <mergeCell ref="D16:E16"/>
    <mergeCell ref="D21:E21"/>
    <mergeCell ref="D6:D7"/>
    <mergeCell ref="D8:D9"/>
    <mergeCell ref="D24:E24"/>
    <mergeCell ref="C22:C24"/>
  </mergeCells>
  <phoneticPr fontId="8" type="noConversion"/>
  <pageMargins left="0.59055118110236227" right="0.59055118110236227" top="0.78740157480314965" bottom="0.78740157480314965" header="0.19685039370078741" footer="0.19685039370078741"/>
  <pageSetup paperSize="9" scale="91" orientation="portrait" r:id="rId1"/>
  <rowBreaks count="1" manualBreakCount="1">
    <brk id="2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view="pageBreakPreview" topLeftCell="A4" zoomScaleSheetLayoutView="100" workbookViewId="0">
      <selection activeCell="I8" sqref="I8"/>
    </sheetView>
  </sheetViews>
  <sheetFormatPr defaultColWidth="9" defaultRowHeight="16.5"/>
  <cols>
    <col min="1" max="1" width="1.25" style="5" customWidth="1"/>
    <col min="2" max="2" width="13.875" style="5" customWidth="1"/>
    <col min="3" max="3" width="11" style="5" bestFit="1" customWidth="1"/>
    <col min="4" max="4" width="10.875" style="5" customWidth="1"/>
    <col min="5" max="5" width="18.5" style="5" customWidth="1"/>
    <col min="6" max="10" width="12.75" style="5" customWidth="1"/>
    <col min="11" max="11" width="1.25" style="5" customWidth="1"/>
    <col min="12" max="16384" width="9" style="5"/>
  </cols>
  <sheetData>
    <row r="1" spans="2:10" ht="22.5" customHeight="1">
      <c r="B1" s="569" t="s">
        <v>332</v>
      </c>
      <c r="C1" s="569"/>
      <c r="D1" s="569"/>
      <c r="E1" s="569"/>
      <c r="F1" s="569"/>
      <c r="G1" s="569"/>
      <c r="H1" s="569"/>
      <c r="I1" s="569"/>
      <c r="J1" s="569"/>
    </row>
    <row r="2" spans="2:10" ht="22.5" customHeight="1" thickBot="1">
      <c r="B2" s="1"/>
      <c r="C2" s="1"/>
      <c r="D2" s="1"/>
      <c r="E2" s="1"/>
      <c r="F2" s="1"/>
      <c r="G2" s="1"/>
      <c r="H2" s="1"/>
      <c r="I2" s="1"/>
      <c r="J2" s="1"/>
    </row>
    <row r="3" spans="2:10" ht="22.5" customHeight="1">
      <c r="B3" s="576" t="s">
        <v>33</v>
      </c>
      <c r="C3" s="570" t="s">
        <v>34</v>
      </c>
      <c r="D3" s="573" t="s">
        <v>35</v>
      </c>
      <c r="E3" s="570" t="s">
        <v>41</v>
      </c>
      <c r="F3" s="570"/>
      <c r="G3" s="570" t="s">
        <v>42</v>
      </c>
      <c r="H3" s="570"/>
      <c r="I3" s="570"/>
      <c r="J3" s="627"/>
    </row>
    <row r="4" spans="2:10" ht="22.5" customHeight="1">
      <c r="B4" s="578"/>
      <c r="C4" s="575"/>
      <c r="D4" s="575"/>
      <c r="E4" s="390" t="s">
        <v>333</v>
      </c>
      <c r="F4" s="82" t="s">
        <v>43</v>
      </c>
      <c r="G4" s="82" t="s">
        <v>44</v>
      </c>
      <c r="H4" s="82" t="s">
        <v>43</v>
      </c>
      <c r="I4" s="82" t="s">
        <v>45</v>
      </c>
      <c r="J4" s="79" t="s">
        <v>43</v>
      </c>
    </row>
    <row r="5" spans="2:10" ht="54.6" customHeight="1">
      <c r="B5" s="78" t="str">
        <f>참여기술인명단!B5</f>
        <v>책임
건설사업
관리기술인</v>
      </c>
      <c r="C5" s="83" t="str">
        <f>참여기술인명단!C5</f>
        <v>건축분야
(고급기술인)</v>
      </c>
      <c r="D5" s="86" t="str">
        <f>참여기술인명단!D5</f>
        <v>홍길일</v>
      </c>
      <c r="E5" s="190">
        <f>'가.해당분야 경력'!E17/365</f>
        <v>19.056986301369864</v>
      </c>
      <c r="F5" s="112" t="str">
        <f>IF(E5&gt;=9,"12",IF(E5&gt;=7,"10.8", IF(E5&gt;=5,"9.6", IF(E5&gt;=3,"8.4", IF(E5&lt;3,"7.2")))))</f>
        <v>12</v>
      </c>
      <c r="G5" s="191">
        <f>('가.직무분야 실적'!D7/365)</f>
        <v>33.024657534246572</v>
      </c>
      <c r="H5" s="112" t="str">
        <f>IF(G5&gt;=12,"6",IF(G5&gt;=10,"5.4", IF(G5&gt;=8,"4.8", IF(G5&gt;=6,"4.2", IF(G5&lt;6,"3.6")))))</f>
        <v>6</v>
      </c>
      <c r="I5" s="191">
        <f>'가.직무분야 실적'!D19/365</f>
        <v>33.024657534246572</v>
      </c>
      <c r="J5" s="119" t="str">
        <f>IF(I5&gt;=5,"3",IF(I5&gt;=4,"2.7", IF(I5&gt;=3,"2.4", IF(I5&gt;=2,"2.1", IF(I5&lt;2,"1.8")))))</f>
        <v>3</v>
      </c>
    </row>
    <row r="6" spans="2:10" ht="42" customHeight="1">
      <c r="B6" s="628" t="str">
        <f>참여기술인명단!B6</f>
        <v>분야별
건설사업
관리기술인</v>
      </c>
      <c r="C6" s="83" t="str">
        <f>참여기술인명단!C6</f>
        <v>건축분야
(고급기술인)</v>
      </c>
      <c r="D6" s="438" t="str">
        <f>참여기술인명단!D6</f>
        <v>홍길이</v>
      </c>
      <c r="E6" s="425">
        <f>'가.해당분야 경력'!E36/30.5</f>
        <v>37.140983606557377</v>
      </c>
      <c r="F6" s="112" t="str">
        <f>IF(E6&gt;=36,"13.5",IF(E6&gt;=28,"12.15", IF(E6&gt;=20,"10.8", IF(E6&gt;=12,"9.45", IF(E6&lt;12,"8.1")))))</f>
        <v>13.5</v>
      </c>
      <c r="G6" s="191">
        <f>('가.직무분야 실적'!D37/365)</f>
        <v>33.024657534246572</v>
      </c>
      <c r="H6" s="112" t="str">
        <f t="shared" ref="H6:H8" si="0">IF(G6&gt;=12,"6",IF(G6&gt;=10,"5.4", IF(G6&gt;=8,"4.8", IF(G6&gt;=6,"4.2", IF(G6&lt;6,"3.6")))))</f>
        <v>6</v>
      </c>
      <c r="I6" s="191">
        <f>'가.직무분야 실적'!D49/365</f>
        <v>33.024657534246572</v>
      </c>
      <c r="J6" s="119" t="str">
        <f t="shared" ref="J6:J8" si="1">IF(I6&gt;=5,"3",IF(I6&gt;=4,"2.7", IF(I6&gt;=3,"2.4", IF(I6&gt;=2,"2.1", IF(I6&lt;2,"1.8")))))</f>
        <v>3</v>
      </c>
    </row>
    <row r="7" spans="2:10" ht="42" customHeight="1">
      <c r="B7" s="629"/>
      <c r="C7" s="83" t="str">
        <f>참여기술인명단!C7</f>
        <v>토목분야
(고급기술인)</v>
      </c>
      <c r="D7" s="438" t="str">
        <f>참여기술인명단!D7</f>
        <v>홍길삼</v>
      </c>
      <c r="E7" s="425">
        <f>'가.해당분야 경력'!E58/30.5</f>
        <v>37.140983606557377</v>
      </c>
      <c r="F7" s="112" t="str">
        <f>IF(E7&gt;=36,"13.5",IF(E7&gt;=28,"12.15", IF(E7&gt;=20,"10.8", IF(E7&gt;=12,"9.45", IF(E7&lt;12,"8.1")))))</f>
        <v>13.5</v>
      </c>
      <c r="G7" s="191">
        <f>('가.직무분야 실적'!D69/365)</f>
        <v>33.024657534246572</v>
      </c>
      <c r="H7" s="112" t="str">
        <f t="shared" si="0"/>
        <v>6</v>
      </c>
      <c r="I7" s="191">
        <f>'가.직무분야 실적'!D81/365</f>
        <v>33.024657534246572</v>
      </c>
      <c r="J7" s="119" t="str">
        <f t="shared" si="1"/>
        <v>3</v>
      </c>
    </row>
    <row r="8" spans="2:10" ht="42" customHeight="1">
      <c r="B8" s="629"/>
      <c r="C8" s="83" t="str">
        <f>참여기술인명단!C8</f>
        <v>전기분야
(고급기술인)</v>
      </c>
      <c r="D8" s="438" t="str">
        <f>참여기술인명단!D8</f>
        <v>홍길사</v>
      </c>
      <c r="E8" s="425">
        <f>'가.해당분야 경력'!E80/30.5</f>
        <v>37.140983606557377</v>
      </c>
      <c r="F8" s="112" t="str">
        <f>IF(E8&gt;=36,"13.5",IF(E8&gt;=28,"12.15", IF(E8&gt;=20,"10.8", IF(E8&gt;=12,"9.45", IF(E8&lt;12,"8.1")))))</f>
        <v>13.5</v>
      </c>
      <c r="G8" s="191">
        <f>('가.직무분야 실적'!D101/365)</f>
        <v>33.024657534246572</v>
      </c>
      <c r="H8" s="112" t="str">
        <f t="shared" si="0"/>
        <v>6</v>
      </c>
      <c r="I8" s="191">
        <f>'가.직무분야 실적'!D113/365</f>
        <v>33.024657534246572</v>
      </c>
      <c r="J8" s="119" t="str">
        <f t="shared" si="1"/>
        <v>3</v>
      </c>
    </row>
    <row r="9" spans="2:10" ht="42" customHeight="1">
      <c r="B9" s="630"/>
      <c r="C9" s="470" t="s">
        <v>401</v>
      </c>
      <c r="D9" s="471"/>
      <c r="E9" s="472"/>
      <c r="F9" s="480">
        <f>ROUND((F6+F7+F8)/3,2)</f>
        <v>13.5</v>
      </c>
      <c r="G9" s="473"/>
      <c r="H9" s="480">
        <f>ROUND((H6+H7+H8)/3,2)</f>
        <v>6</v>
      </c>
      <c r="I9" s="473"/>
      <c r="J9" s="480">
        <f>ROUND((J6+J7+J8)/3,2)</f>
        <v>3</v>
      </c>
    </row>
    <row r="10" spans="2:10" ht="42" customHeight="1">
      <c r="B10" s="625" t="str">
        <f>참여기술인명단!B9</f>
        <v>기술지원
기술인</v>
      </c>
      <c r="C10" s="83" t="str">
        <f>참여기술인명단!C9</f>
        <v>건축분야
(특급기술인)</v>
      </c>
      <c r="D10" s="438" t="str">
        <f>참여기술인명단!D9</f>
        <v>홍길오</v>
      </c>
      <c r="E10" s="477">
        <f>'가.해당분야 경력'!E102/365</f>
        <v>3.1035616438356164</v>
      </c>
      <c r="F10" s="478" t="str">
        <f>IF(E10&gt;=9,"6",IF(E10&gt;=7,"5.4", IF(E10&gt;=5,"4.8", IF(E10&gt;=3,"4.2", IF(E10&lt;3,"3.6")))))</f>
        <v>4.2</v>
      </c>
      <c r="G10" s="479" t="s">
        <v>188</v>
      </c>
      <c r="H10" s="112" t="s">
        <v>188</v>
      </c>
      <c r="I10" s="112" t="s">
        <v>187</v>
      </c>
      <c r="J10" s="29" t="s">
        <v>187</v>
      </c>
    </row>
    <row r="11" spans="2:10" ht="42" customHeight="1">
      <c r="B11" s="625"/>
      <c r="C11" s="83" t="str">
        <f>참여기술인명단!C10</f>
        <v>토목분야
(특급기술인)</v>
      </c>
      <c r="D11" s="438" t="str">
        <f>참여기술인명단!D10</f>
        <v>홍길육</v>
      </c>
      <c r="E11" s="190">
        <f>'가.해당분야 경력'!E124/365</f>
        <v>3.1035616438356164</v>
      </c>
      <c r="F11" s="112" t="str">
        <f t="shared" ref="F11" si="2">IF(E11&gt;=9,"6",IF(E11&gt;=7,"5.4", IF(E11&gt;=5,"4.8", IF(E11&gt;=3,"4.2", IF(E11&lt;3,"3.6")))))</f>
        <v>4.2</v>
      </c>
      <c r="G11" s="118" t="s">
        <v>188</v>
      </c>
      <c r="H11" s="112" t="s">
        <v>188</v>
      </c>
      <c r="I11" s="112" t="s">
        <v>187</v>
      </c>
      <c r="J11" s="28" t="s">
        <v>187</v>
      </c>
    </row>
    <row r="12" spans="2:10" ht="42.75" customHeight="1">
      <c r="B12" s="625"/>
      <c r="C12" s="83"/>
      <c r="D12" s="438"/>
      <c r="E12" s="190"/>
      <c r="F12" s="112"/>
      <c r="G12" s="118"/>
      <c r="H12" s="112"/>
      <c r="I12" s="112"/>
      <c r="J12" s="28"/>
    </row>
    <row r="13" spans="2:10" ht="42.75" customHeight="1" thickBot="1">
      <c r="B13" s="626"/>
      <c r="C13" s="208" t="s">
        <v>3</v>
      </c>
      <c r="D13" s="209"/>
      <c r="E13" s="210"/>
      <c r="F13" s="211">
        <f>ROUND((F10+F11)/2,2)</f>
        <v>4.2</v>
      </c>
      <c r="G13" s="210"/>
      <c r="H13" s="212"/>
      <c r="I13" s="212"/>
      <c r="J13" s="213"/>
    </row>
    <row r="14" spans="2:10" ht="6.75" customHeight="1"/>
  </sheetData>
  <mergeCells count="8">
    <mergeCell ref="B10:B13"/>
    <mergeCell ref="E3:F3"/>
    <mergeCell ref="G3:J3"/>
    <mergeCell ref="B1:J1"/>
    <mergeCell ref="B3:B4"/>
    <mergeCell ref="C3:C4"/>
    <mergeCell ref="D3:D4"/>
    <mergeCell ref="B6:B9"/>
  </mergeCells>
  <phoneticPr fontId="8" type="noConversion"/>
  <printOptions horizontalCentered="1"/>
  <pageMargins left="0.59055118110236227" right="0.59055118110236227" top="0.78740157480314965" bottom="0.78740157480314965" header="0.19685039370078741" footer="0.19685039370078741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4"/>
  <sheetViews>
    <sheetView view="pageBreakPreview" zoomScale="70" zoomScaleSheetLayoutView="70" workbookViewId="0">
      <selection activeCell="O12" sqref="O12"/>
    </sheetView>
  </sheetViews>
  <sheetFormatPr defaultColWidth="9" defaultRowHeight="16.5"/>
  <cols>
    <col min="1" max="1" width="1.25" style="3" customWidth="1"/>
    <col min="2" max="2" width="5.125" style="3" customWidth="1"/>
    <col min="3" max="3" width="15.625" style="3" bestFit="1" customWidth="1"/>
    <col min="4" max="4" width="16.75" style="3" bestFit="1" customWidth="1"/>
    <col min="5" max="5" width="20.625" style="3" customWidth="1"/>
    <col min="6" max="6" width="10.625" style="3" customWidth="1"/>
    <col min="7" max="7" width="18.125" style="3" customWidth="1"/>
    <col min="8" max="8" width="12.5" style="3" customWidth="1"/>
    <col min="9" max="9" width="17.125" style="3" customWidth="1"/>
    <col min="10" max="10" width="5" style="3" bestFit="1" customWidth="1"/>
    <col min="11" max="11" width="6.625" style="3" bestFit="1" customWidth="1"/>
    <col min="12" max="12" width="1.25" style="3" customWidth="1"/>
    <col min="13" max="16384" width="9" style="3"/>
  </cols>
  <sheetData>
    <row r="1" spans="2:11" ht="22.5" customHeight="1">
      <c r="B1" s="569" t="s">
        <v>532</v>
      </c>
      <c r="C1" s="569"/>
      <c r="D1" s="569"/>
      <c r="E1" s="569"/>
      <c r="F1" s="569"/>
      <c r="G1" s="569"/>
      <c r="H1" s="569"/>
      <c r="I1" s="569"/>
      <c r="J1" s="569"/>
      <c r="K1" s="569"/>
    </row>
    <row r="2" spans="2:11" ht="22.5" customHeight="1">
      <c r="B2" s="65"/>
      <c r="C2" s="65"/>
      <c r="D2" s="173"/>
      <c r="E2" s="65"/>
      <c r="F2" s="65"/>
      <c r="G2" s="65"/>
      <c r="H2" s="65"/>
      <c r="I2" s="65"/>
      <c r="J2" s="65"/>
      <c r="K2" s="65"/>
    </row>
    <row r="3" spans="2:11" s="64" customFormat="1" ht="22.5" customHeight="1" thickBot="1">
      <c r="B3" s="122" t="s">
        <v>208</v>
      </c>
      <c r="C3" s="122" t="str">
        <f>참여기술인명단!B5</f>
        <v>책임
건설사업
관리기술인</v>
      </c>
      <c r="D3" s="122"/>
      <c r="E3" s="122" t="str">
        <f>참여기술인명단!D5</f>
        <v>홍길일</v>
      </c>
    </row>
    <row r="4" spans="2:11" ht="21.75" customHeight="1">
      <c r="B4" s="646" t="s">
        <v>190</v>
      </c>
      <c r="C4" s="570"/>
      <c r="D4" s="570"/>
      <c r="E4" s="570"/>
      <c r="F4" s="570"/>
      <c r="G4" s="570"/>
      <c r="H4" s="570"/>
      <c r="I4" s="570"/>
      <c r="J4" s="570"/>
      <c r="K4" s="627"/>
    </row>
    <row r="5" spans="2:11" ht="21.75" customHeight="1">
      <c r="B5" s="578" t="s">
        <v>191</v>
      </c>
      <c r="C5" s="575"/>
      <c r="D5" s="581" t="s">
        <v>286</v>
      </c>
      <c r="E5" s="649"/>
      <c r="F5" s="582"/>
      <c r="G5" s="650" t="s">
        <v>335</v>
      </c>
      <c r="H5" s="652" t="s">
        <v>192</v>
      </c>
      <c r="I5" s="652"/>
      <c r="J5" s="652"/>
      <c r="K5" s="587" t="s">
        <v>193</v>
      </c>
    </row>
    <row r="6" spans="2:11" ht="21.75" customHeight="1" thickBot="1">
      <c r="B6" s="647"/>
      <c r="C6" s="648"/>
      <c r="D6" s="455" t="s">
        <v>434</v>
      </c>
      <c r="E6" s="172" t="s">
        <v>194</v>
      </c>
      <c r="F6" s="171" t="s">
        <v>195</v>
      </c>
      <c r="G6" s="651"/>
      <c r="H6" s="171" t="s">
        <v>196</v>
      </c>
      <c r="I6" s="384" t="s">
        <v>322</v>
      </c>
      <c r="J6" s="171" t="s">
        <v>198</v>
      </c>
      <c r="K6" s="653"/>
    </row>
    <row r="7" spans="2:11" ht="21.75" customHeight="1" thickBot="1">
      <c r="B7" s="656" t="s">
        <v>498</v>
      </c>
      <c r="C7" s="657"/>
      <c r="D7" s="301" t="s">
        <v>435</v>
      </c>
      <c r="E7" s="301" t="s">
        <v>205</v>
      </c>
      <c r="F7" s="301">
        <v>5479</v>
      </c>
      <c r="G7" s="302" t="s">
        <v>326</v>
      </c>
      <c r="H7" s="303" t="s">
        <v>265</v>
      </c>
      <c r="I7" s="303" t="s">
        <v>327</v>
      </c>
      <c r="J7" s="303" t="s">
        <v>266</v>
      </c>
      <c r="K7" s="304" t="s">
        <v>252</v>
      </c>
    </row>
    <row r="8" spans="2:11" ht="22.5" customHeight="1">
      <c r="B8" s="184"/>
      <c r="C8" s="184"/>
      <c r="D8" s="184"/>
      <c r="E8" s="34"/>
      <c r="F8" s="34"/>
      <c r="G8" s="33"/>
      <c r="H8" s="33"/>
      <c r="I8" s="33"/>
      <c r="J8" s="33"/>
      <c r="K8" s="34"/>
    </row>
    <row r="9" spans="2:11" ht="22.5" customHeight="1">
      <c r="B9" s="184"/>
      <c r="C9" s="184"/>
      <c r="D9" s="184"/>
      <c r="E9" s="34"/>
      <c r="F9" s="34"/>
      <c r="G9" s="33"/>
      <c r="H9" s="33"/>
      <c r="I9" s="33"/>
      <c r="J9" s="33"/>
      <c r="K9" s="34"/>
    </row>
    <row r="10" spans="2:11" ht="22.5" customHeight="1">
      <c r="B10" s="184"/>
      <c r="C10" s="184"/>
      <c r="D10" s="184"/>
      <c r="E10" s="34"/>
      <c r="F10" s="34"/>
      <c r="G10" s="33"/>
      <c r="H10" s="33"/>
      <c r="I10" s="33"/>
      <c r="J10" s="33"/>
      <c r="K10" s="34"/>
    </row>
    <row r="11" spans="2:11" ht="22.5" customHeight="1">
      <c r="B11" s="569" t="s">
        <v>334</v>
      </c>
      <c r="C11" s="569"/>
      <c r="D11" s="569"/>
      <c r="E11" s="569"/>
      <c r="F11" s="569"/>
      <c r="G11" s="569"/>
      <c r="H11" s="569"/>
      <c r="I11" s="569"/>
      <c r="J11" s="569"/>
      <c r="K11" s="569"/>
    </row>
    <row r="12" spans="2:11" ht="22.5" customHeight="1">
      <c r="B12" s="151"/>
      <c r="C12" s="151"/>
      <c r="D12" s="169"/>
      <c r="E12" s="151"/>
      <c r="F12" s="151"/>
      <c r="G12" s="151"/>
      <c r="H12" s="151"/>
      <c r="I12" s="151"/>
      <c r="J12" s="151"/>
      <c r="K12" s="151"/>
    </row>
    <row r="13" spans="2:11" s="64" customFormat="1" ht="22.5" customHeight="1" thickBot="1">
      <c r="B13" s="122" t="s">
        <v>207</v>
      </c>
      <c r="C13" s="122" t="str">
        <f>참여기술인명단!B5</f>
        <v>책임
건설사업
관리기술인</v>
      </c>
      <c r="D13" s="122"/>
      <c r="E13" s="122" t="str">
        <f>참여기술인명단!D5</f>
        <v>홍길일</v>
      </c>
    </row>
    <row r="14" spans="2:11" ht="22.5" customHeight="1">
      <c r="B14" s="646" t="s">
        <v>190</v>
      </c>
      <c r="C14" s="570"/>
      <c r="D14" s="570"/>
      <c r="E14" s="570"/>
      <c r="F14" s="570"/>
      <c r="G14" s="570"/>
      <c r="H14" s="570"/>
      <c r="I14" s="570"/>
      <c r="J14" s="570"/>
      <c r="K14" s="627"/>
    </row>
    <row r="15" spans="2:11" ht="22.5" customHeight="1">
      <c r="B15" s="578" t="s">
        <v>46</v>
      </c>
      <c r="C15" s="575"/>
      <c r="D15" s="581" t="s">
        <v>338</v>
      </c>
      <c r="E15" s="649"/>
      <c r="F15" s="582"/>
      <c r="G15" s="650" t="s">
        <v>335</v>
      </c>
      <c r="H15" s="652" t="s">
        <v>48</v>
      </c>
      <c r="I15" s="652"/>
      <c r="J15" s="652"/>
      <c r="K15" s="587" t="s">
        <v>49</v>
      </c>
    </row>
    <row r="16" spans="2:11" ht="22.5" customHeight="1" thickBot="1">
      <c r="B16" s="647"/>
      <c r="C16" s="648"/>
      <c r="D16" s="391" t="s">
        <v>336</v>
      </c>
      <c r="E16" s="391" t="s">
        <v>337</v>
      </c>
      <c r="F16" s="156" t="s">
        <v>50</v>
      </c>
      <c r="G16" s="651"/>
      <c r="H16" s="156" t="s">
        <v>51</v>
      </c>
      <c r="I16" s="384" t="s">
        <v>321</v>
      </c>
      <c r="J16" s="156" t="s">
        <v>52</v>
      </c>
      <c r="K16" s="653"/>
    </row>
    <row r="17" spans="2:11" ht="22.5" customHeight="1" thickBot="1">
      <c r="B17" s="185" t="s">
        <v>275</v>
      </c>
      <c r="C17" s="186" t="s">
        <v>276</v>
      </c>
      <c r="D17" s="300"/>
      <c r="E17" s="658">
        <f>E18+(E22*0.6)</f>
        <v>6955.8</v>
      </c>
      <c r="F17" s="659"/>
      <c r="G17" s="183"/>
      <c r="H17" s="183"/>
      <c r="I17" s="183"/>
      <c r="J17" s="183"/>
      <c r="K17" s="182"/>
    </row>
    <row r="18" spans="2:11" ht="22.5" customHeight="1" thickBot="1">
      <c r="B18" s="655" t="s">
        <v>277</v>
      </c>
      <c r="C18" s="640"/>
      <c r="D18" s="236"/>
      <c r="E18" s="654">
        <f>SUM(F19:F21)</f>
        <v>6597</v>
      </c>
      <c r="F18" s="654"/>
      <c r="G18" s="187"/>
      <c r="H18" s="187"/>
      <c r="I18" s="187"/>
      <c r="J18" s="187"/>
      <c r="K18" s="188"/>
    </row>
    <row r="19" spans="2:11" ht="22.5" customHeight="1">
      <c r="B19" s="633" t="s">
        <v>499</v>
      </c>
      <c r="C19" s="634"/>
      <c r="D19" s="503" t="s">
        <v>339</v>
      </c>
      <c r="E19" s="503" t="s">
        <v>340</v>
      </c>
      <c r="F19" s="461">
        <v>1540</v>
      </c>
      <c r="G19" s="504" t="s">
        <v>436</v>
      </c>
      <c r="H19" s="189" t="s">
        <v>265</v>
      </c>
      <c r="I19" s="189" t="s">
        <v>328</v>
      </c>
      <c r="J19" s="189" t="s">
        <v>266</v>
      </c>
      <c r="K19" s="296" t="s">
        <v>252</v>
      </c>
    </row>
    <row r="20" spans="2:11" ht="22.5" customHeight="1">
      <c r="B20" s="635" t="s">
        <v>499</v>
      </c>
      <c r="C20" s="636"/>
      <c r="D20" s="505" t="s">
        <v>341</v>
      </c>
      <c r="E20" s="505" t="s">
        <v>342</v>
      </c>
      <c r="F20" s="460">
        <v>2642</v>
      </c>
      <c r="G20" s="506" t="s">
        <v>436</v>
      </c>
      <c r="H20" s="170" t="s">
        <v>265</v>
      </c>
      <c r="I20" s="170" t="s">
        <v>325</v>
      </c>
      <c r="J20" s="170" t="s">
        <v>266</v>
      </c>
      <c r="K20" s="192" t="s">
        <v>252</v>
      </c>
    </row>
    <row r="21" spans="2:11" ht="22.5" customHeight="1" thickBot="1">
      <c r="B21" s="637" t="s">
        <v>499</v>
      </c>
      <c r="C21" s="638"/>
      <c r="D21" s="507" t="s">
        <v>343</v>
      </c>
      <c r="E21" s="507" t="s">
        <v>342</v>
      </c>
      <c r="F21" s="459">
        <v>2415</v>
      </c>
      <c r="G21" s="508" t="s">
        <v>437</v>
      </c>
      <c r="H21" s="179" t="s">
        <v>265</v>
      </c>
      <c r="I21" s="179" t="s">
        <v>325</v>
      </c>
      <c r="J21" s="179" t="s">
        <v>266</v>
      </c>
      <c r="K21" s="193" t="s">
        <v>252</v>
      </c>
    </row>
    <row r="22" spans="2:11" ht="22.5" customHeight="1" thickBot="1">
      <c r="B22" s="639" t="s">
        <v>278</v>
      </c>
      <c r="C22" s="640"/>
      <c r="D22" s="236"/>
      <c r="E22" s="641">
        <f>SUM(F23:F25)</f>
        <v>598</v>
      </c>
      <c r="F22" s="641"/>
      <c r="G22" s="180"/>
      <c r="H22" s="180"/>
      <c r="I22" s="180"/>
      <c r="J22" s="180"/>
      <c r="K22" s="181"/>
    </row>
    <row r="23" spans="2:11" ht="22.5" customHeight="1">
      <c r="B23" s="642" t="s">
        <v>402</v>
      </c>
      <c r="C23" s="643"/>
      <c r="D23" s="409" t="s">
        <v>339</v>
      </c>
      <c r="E23" s="409" t="s">
        <v>340</v>
      </c>
      <c r="F23" s="387">
        <v>124</v>
      </c>
      <c r="G23" s="305" t="s">
        <v>403</v>
      </c>
      <c r="H23" s="306" t="s">
        <v>105</v>
      </c>
      <c r="I23" s="306" t="s">
        <v>344</v>
      </c>
      <c r="J23" s="306" t="s">
        <v>317</v>
      </c>
      <c r="K23" s="307" t="s">
        <v>318</v>
      </c>
    </row>
    <row r="24" spans="2:11" ht="22.5" customHeight="1">
      <c r="B24" s="644" t="s">
        <v>402</v>
      </c>
      <c r="C24" s="645"/>
      <c r="D24" s="410" t="s">
        <v>341</v>
      </c>
      <c r="E24" s="410" t="s">
        <v>342</v>
      </c>
      <c r="F24" s="388">
        <v>221</v>
      </c>
      <c r="G24" s="308" t="s">
        <v>403</v>
      </c>
      <c r="H24" s="309" t="s">
        <v>105</v>
      </c>
      <c r="I24" s="309" t="s">
        <v>344</v>
      </c>
      <c r="J24" s="309" t="s">
        <v>317</v>
      </c>
      <c r="K24" s="310" t="s">
        <v>318</v>
      </c>
    </row>
    <row r="25" spans="2:11" ht="22.5" customHeight="1" thickBot="1">
      <c r="B25" s="631" t="s">
        <v>402</v>
      </c>
      <c r="C25" s="632"/>
      <c r="D25" s="411" t="s">
        <v>343</v>
      </c>
      <c r="E25" s="411" t="s">
        <v>342</v>
      </c>
      <c r="F25" s="389">
        <v>253</v>
      </c>
      <c r="G25" s="311" t="s">
        <v>404</v>
      </c>
      <c r="H25" s="312" t="s">
        <v>105</v>
      </c>
      <c r="I25" s="312" t="s">
        <v>344</v>
      </c>
      <c r="J25" s="312" t="s">
        <v>317</v>
      </c>
      <c r="K25" s="313" t="s">
        <v>318</v>
      </c>
    </row>
    <row r="26" spans="2:11" ht="22.5" customHeight="1">
      <c r="B26" s="34"/>
      <c r="C26" s="34"/>
      <c r="D26" s="34"/>
      <c r="E26" s="34"/>
      <c r="F26" s="34"/>
      <c r="G26" s="315"/>
      <c r="H26" s="33"/>
      <c r="I26" s="33"/>
      <c r="J26" s="33"/>
      <c r="K26" s="34"/>
    </row>
    <row r="27" spans="2:11" ht="22.5" customHeight="1">
      <c r="B27" s="34"/>
      <c r="C27" s="34"/>
      <c r="D27" s="34"/>
      <c r="E27" s="34"/>
      <c r="F27" s="34"/>
      <c r="G27" s="315"/>
      <c r="H27" s="33"/>
      <c r="I27" s="33"/>
      <c r="J27" s="33"/>
      <c r="K27" s="34"/>
    </row>
    <row r="28" spans="2:11" ht="22.5" customHeight="1">
      <c r="B28" s="34"/>
      <c r="C28" s="34"/>
      <c r="D28" s="34"/>
      <c r="E28" s="34"/>
      <c r="F28" s="34"/>
      <c r="G28" s="315"/>
      <c r="H28" s="33"/>
      <c r="I28" s="33"/>
      <c r="J28" s="33"/>
      <c r="K28" s="34"/>
    </row>
    <row r="29" spans="2:11" ht="22.5" customHeight="1">
      <c r="B29" s="34"/>
      <c r="C29" s="34"/>
      <c r="D29" s="34"/>
      <c r="E29" s="34"/>
      <c r="F29" s="34"/>
      <c r="G29" s="315"/>
      <c r="H29" s="33"/>
      <c r="I29" s="33"/>
      <c r="J29" s="33"/>
      <c r="K29" s="34"/>
    </row>
    <row r="30" spans="2:11" ht="22.5" customHeight="1">
      <c r="B30" s="34"/>
      <c r="C30" s="34"/>
      <c r="D30" s="34"/>
      <c r="E30" s="34"/>
      <c r="F30" s="34"/>
      <c r="G30" s="315"/>
      <c r="H30" s="33"/>
      <c r="I30" s="33"/>
      <c r="J30" s="33"/>
      <c r="K30" s="34"/>
    </row>
    <row r="31" spans="2:11" ht="22.5" customHeight="1">
      <c r="B31" s="34"/>
      <c r="C31" s="34"/>
      <c r="D31" s="34"/>
      <c r="E31" s="34"/>
      <c r="F31" s="34"/>
      <c r="G31" s="315"/>
      <c r="H31" s="33"/>
      <c r="I31" s="33"/>
      <c r="J31" s="33"/>
      <c r="K31" s="34"/>
    </row>
    <row r="32" spans="2:11" s="64" customFormat="1" ht="22.5" customHeight="1" thickBot="1">
      <c r="B32" s="122" t="s">
        <v>208</v>
      </c>
      <c r="C32" s="122" t="str">
        <f>참여기술인명단!B6</f>
        <v>분야별
건설사업
관리기술인</v>
      </c>
      <c r="D32" s="122"/>
      <c r="E32" s="122" t="str">
        <f>참여기술인명단!D6</f>
        <v>홍길이</v>
      </c>
      <c r="F32" s="141"/>
      <c r="G32" s="141"/>
      <c r="H32" s="141"/>
      <c r="I32" s="141"/>
      <c r="J32" s="141"/>
      <c r="K32" s="142"/>
    </row>
    <row r="33" spans="2:11" ht="22.5" customHeight="1">
      <c r="B33" s="646" t="s">
        <v>190</v>
      </c>
      <c r="C33" s="570"/>
      <c r="D33" s="570"/>
      <c r="E33" s="570"/>
      <c r="F33" s="570"/>
      <c r="G33" s="570"/>
      <c r="H33" s="570"/>
      <c r="I33" s="570"/>
      <c r="J33" s="570"/>
      <c r="K33" s="627"/>
    </row>
    <row r="34" spans="2:11" ht="22.5" customHeight="1">
      <c r="B34" s="578" t="s">
        <v>46</v>
      </c>
      <c r="C34" s="575"/>
      <c r="D34" s="581" t="s">
        <v>338</v>
      </c>
      <c r="E34" s="649"/>
      <c r="F34" s="582"/>
      <c r="G34" s="650" t="s">
        <v>320</v>
      </c>
      <c r="H34" s="652" t="s">
        <v>48</v>
      </c>
      <c r="I34" s="652"/>
      <c r="J34" s="652"/>
      <c r="K34" s="587" t="s">
        <v>49</v>
      </c>
    </row>
    <row r="35" spans="2:11" ht="22.5" customHeight="1" thickBot="1">
      <c r="B35" s="647"/>
      <c r="C35" s="648"/>
      <c r="D35" s="391" t="s">
        <v>336</v>
      </c>
      <c r="E35" s="391" t="s">
        <v>337</v>
      </c>
      <c r="F35" s="397" t="s">
        <v>50</v>
      </c>
      <c r="G35" s="651"/>
      <c r="H35" s="156" t="s">
        <v>51</v>
      </c>
      <c r="I35" s="384" t="s">
        <v>321</v>
      </c>
      <c r="J35" s="156" t="s">
        <v>52</v>
      </c>
      <c r="K35" s="653"/>
    </row>
    <row r="36" spans="2:11" ht="22.5" customHeight="1" thickBot="1">
      <c r="B36" s="185" t="s">
        <v>275</v>
      </c>
      <c r="C36" s="186" t="s">
        <v>276</v>
      </c>
      <c r="D36" s="300"/>
      <c r="E36" s="658">
        <f>E37+(E41*0.6)</f>
        <v>1132.8</v>
      </c>
      <c r="F36" s="659"/>
      <c r="G36" s="183"/>
      <c r="H36" s="183"/>
      <c r="I36" s="183"/>
      <c r="J36" s="183"/>
      <c r="K36" s="182"/>
    </row>
    <row r="37" spans="2:11" ht="22.5" customHeight="1" thickBot="1">
      <c r="B37" s="655" t="s">
        <v>277</v>
      </c>
      <c r="C37" s="640"/>
      <c r="D37" s="236"/>
      <c r="E37" s="654">
        <f>SUM(F38:F40)</f>
        <v>774</v>
      </c>
      <c r="F37" s="654"/>
      <c r="G37" s="187"/>
      <c r="H37" s="187"/>
      <c r="I37" s="187"/>
      <c r="J37" s="187"/>
      <c r="K37" s="188"/>
    </row>
    <row r="38" spans="2:11" ht="22.5" customHeight="1">
      <c r="B38" s="633" t="s">
        <v>499</v>
      </c>
      <c r="C38" s="634"/>
      <c r="D38" s="409" t="s">
        <v>339</v>
      </c>
      <c r="E38" s="409" t="s">
        <v>340</v>
      </c>
      <c r="F38" s="392">
        <v>300</v>
      </c>
      <c r="G38" s="305" t="s">
        <v>19</v>
      </c>
      <c r="H38" s="306" t="s">
        <v>265</v>
      </c>
      <c r="I38" s="306" t="s">
        <v>328</v>
      </c>
      <c r="J38" s="306" t="s">
        <v>266</v>
      </c>
      <c r="K38" s="307" t="s">
        <v>252</v>
      </c>
    </row>
    <row r="39" spans="2:11" ht="22.5" customHeight="1">
      <c r="B39" s="635" t="s">
        <v>499</v>
      </c>
      <c r="C39" s="636"/>
      <c r="D39" s="410" t="s">
        <v>341</v>
      </c>
      <c r="E39" s="410" t="s">
        <v>342</v>
      </c>
      <c r="F39" s="393">
        <v>221</v>
      </c>
      <c r="G39" s="308" t="s">
        <v>19</v>
      </c>
      <c r="H39" s="309" t="s">
        <v>265</v>
      </c>
      <c r="I39" s="309" t="s">
        <v>325</v>
      </c>
      <c r="J39" s="309" t="s">
        <v>266</v>
      </c>
      <c r="K39" s="310" t="s">
        <v>252</v>
      </c>
    </row>
    <row r="40" spans="2:11" ht="22.5" customHeight="1" thickBot="1">
      <c r="B40" s="637" t="s">
        <v>499</v>
      </c>
      <c r="C40" s="638"/>
      <c r="D40" s="411" t="s">
        <v>343</v>
      </c>
      <c r="E40" s="411" t="s">
        <v>342</v>
      </c>
      <c r="F40" s="394">
        <v>253</v>
      </c>
      <c r="G40" s="311" t="s">
        <v>19</v>
      </c>
      <c r="H40" s="312" t="s">
        <v>265</v>
      </c>
      <c r="I40" s="312" t="s">
        <v>325</v>
      </c>
      <c r="J40" s="312" t="s">
        <v>266</v>
      </c>
      <c r="K40" s="313" t="s">
        <v>252</v>
      </c>
    </row>
    <row r="41" spans="2:11" ht="22.5" customHeight="1" thickBot="1">
      <c r="B41" s="639" t="s">
        <v>278</v>
      </c>
      <c r="C41" s="640"/>
      <c r="D41" s="236"/>
      <c r="E41" s="641">
        <f>SUM(F42:F44)</f>
        <v>598</v>
      </c>
      <c r="F41" s="641"/>
      <c r="G41" s="180"/>
      <c r="H41" s="180"/>
      <c r="I41" s="180"/>
      <c r="J41" s="180"/>
      <c r="K41" s="181"/>
    </row>
    <row r="42" spans="2:11" ht="22.5" customHeight="1">
      <c r="B42" s="642" t="s">
        <v>402</v>
      </c>
      <c r="C42" s="643"/>
      <c r="D42" s="409" t="s">
        <v>339</v>
      </c>
      <c r="E42" s="409" t="s">
        <v>340</v>
      </c>
      <c r="F42" s="392">
        <v>124</v>
      </c>
      <c r="G42" s="305" t="s">
        <v>19</v>
      </c>
      <c r="H42" s="306" t="s">
        <v>105</v>
      </c>
      <c r="I42" s="306" t="s">
        <v>344</v>
      </c>
      <c r="J42" s="306" t="s">
        <v>317</v>
      </c>
      <c r="K42" s="307" t="s">
        <v>318</v>
      </c>
    </row>
    <row r="43" spans="2:11" ht="22.5" customHeight="1">
      <c r="B43" s="644" t="s">
        <v>402</v>
      </c>
      <c r="C43" s="645"/>
      <c r="D43" s="410" t="s">
        <v>341</v>
      </c>
      <c r="E43" s="410" t="s">
        <v>342</v>
      </c>
      <c r="F43" s="393">
        <v>221</v>
      </c>
      <c r="G43" s="308" t="s">
        <v>19</v>
      </c>
      <c r="H43" s="309" t="s">
        <v>105</v>
      </c>
      <c r="I43" s="309" t="s">
        <v>344</v>
      </c>
      <c r="J43" s="309" t="s">
        <v>317</v>
      </c>
      <c r="K43" s="310" t="s">
        <v>318</v>
      </c>
    </row>
    <row r="44" spans="2:11" ht="22.5" customHeight="1" thickBot="1">
      <c r="B44" s="631" t="s">
        <v>402</v>
      </c>
      <c r="C44" s="632"/>
      <c r="D44" s="411" t="s">
        <v>343</v>
      </c>
      <c r="E44" s="411" t="s">
        <v>342</v>
      </c>
      <c r="F44" s="394">
        <v>253</v>
      </c>
      <c r="G44" s="311" t="s">
        <v>19</v>
      </c>
      <c r="H44" s="312" t="s">
        <v>105</v>
      </c>
      <c r="I44" s="312" t="s">
        <v>344</v>
      </c>
      <c r="J44" s="312" t="s">
        <v>317</v>
      </c>
      <c r="K44" s="313" t="s">
        <v>318</v>
      </c>
    </row>
    <row r="45" spans="2:11" ht="22.5" customHeight="1">
      <c r="B45" s="34"/>
      <c r="C45" s="66"/>
      <c r="D45" s="66"/>
      <c r="E45" s="34"/>
      <c r="F45" s="33"/>
      <c r="G45" s="33"/>
      <c r="H45" s="33"/>
      <c r="I45" s="33"/>
      <c r="J45" s="33"/>
      <c r="K45" s="34"/>
    </row>
    <row r="46" spans="2:11" ht="22.5" customHeight="1">
      <c r="B46" s="34"/>
      <c r="C46" s="66"/>
      <c r="D46" s="66"/>
      <c r="E46" s="34"/>
      <c r="F46" s="33"/>
      <c r="G46" s="33"/>
      <c r="H46" s="33"/>
      <c r="I46" s="33"/>
      <c r="J46" s="33"/>
      <c r="K46" s="34"/>
    </row>
    <row r="47" spans="2:11" ht="22.5" customHeight="1">
      <c r="B47" s="34"/>
      <c r="C47" s="66"/>
      <c r="D47" s="66"/>
      <c r="E47" s="34"/>
      <c r="F47" s="33"/>
      <c r="G47" s="33"/>
      <c r="H47" s="33"/>
      <c r="I47" s="33"/>
      <c r="J47" s="33"/>
      <c r="K47" s="34"/>
    </row>
    <row r="48" spans="2:11" ht="22.5" customHeight="1">
      <c r="B48" s="34"/>
      <c r="C48" s="66"/>
      <c r="D48" s="66"/>
      <c r="E48" s="34"/>
      <c r="F48" s="33"/>
      <c r="G48" s="33"/>
      <c r="H48" s="33"/>
      <c r="I48" s="33"/>
      <c r="J48" s="33"/>
      <c r="K48" s="34"/>
    </row>
    <row r="49" spans="2:11" ht="22.5" customHeight="1">
      <c r="B49" s="34"/>
      <c r="C49" s="66"/>
      <c r="D49" s="66"/>
      <c r="E49" s="34"/>
      <c r="F49" s="33"/>
      <c r="G49" s="33"/>
      <c r="H49" s="33"/>
      <c r="I49" s="33"/>
      <c r="J49" s="33"/>
      <c r="K49" s="34"/>
    </row>
    <row r="50" spans="2:11" ht="22.5" customHeight="1">
      <c r="B50" s="34"/>
      <c r="C50" s="66"/>
      <c r="D50" s="66"/>
      <c r="E50" s="34"/>
      <c r="F50" s="33"/>
      <c r="G50" s="33"/>
      <c r="H50" s="33"/>
      <c r="I50" s="33"/>
      <c r="J50" s="33"/>
      <c r="K50" s="34"/>
    </row>
    <row r="51" spans="2:11" ht="22.5" customHeight="1">
      <c r="B51" s="34"/>
      <c r="C51" s="66"/>
      <c r="D51" s="66"/>
      <c r="E51" s="34"/>
      <c r="F51" s="33"/>
      <c r="G51" s="33"/>
      <c r="H51" s="33"/>
      <c r="I51" s="33"/>
      <c r="J51" s="33"/>
      <c r="K51" s="34"/>
    </row>
    <row r="52" spans="2:11" ht="22.5" customHeight="1">
      <c r="B52" s="34"/>
      <c r="C52" s="66"/>
      <c r="D52" s="66"/>
      <c r="E52" s="34"/>
      <c r="F52" s="33"/>
      <c r="G52" s="33"/>
      <c r="H52" s="33"/>
      <c r="I52" s="33"/>
      <c r="J52" s="33"/>
      <c r="K52" s="34"/>
    </row>
    <row r="53" spans="2:11" ht="22.5" customHeight="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 ht="22.5" customHeight="1" thickBot="1">
      <c r="B54" s="122" t="s">
        <v>208</v>
      </c>
      <c r="C54" s="122" t="str">
        <f>참여기술인명단!B6</f>
        <v>분야별
건설사업
관리기술인</v>
      </c>
      <c r="D54" s="122"/>
      <c r="E54" s="122" t="str">
        <f>참여기술인명단!D7</f>
        <v>홍길삼</v>
      </c>
      <c r="F54" s="141"/>
      <c r="G54" s="141"/>
      <c r="H54" s="141"/>
      <c r="I54" s="141"/>
      <c r="J54" s="141"/>
      <c r="K54" s="142"/>
    </row>
    <row r="55" spans="2:11" ht="22.5" customHeight="1">
      <c r="B55" s="646" t="s">
        <v>190</v>
      </c>
      <c r="C55" s="570"/>
      <c r="D55" s="570"/>
      <c r="E55" s="570"/>
      <c r="F55" s="570"/>
      <c r="G55" s="570"/>
      <c r="H55" s="570"/>
      <c r="I55" s="570"/>
      <c r="J55" s="570"/>
      <c r="K55" s="627"/>
    </row>
    <row r="56" spans="2:11" ht="22.5" customHeight="1">
      <c r="B56" s="578" t="s">
        <v>46</v>
      </c>
      <c r="C56" s="575"/>
      <c r="D56" s="581" t="s">
        <v>338</v>
      </c>
      <c r="E56" s="649"/>
      <c r="F56" s="582"/>
      <c r="G56" s="650" t="s">
        <v>320</v>
      </c>
      <c r="H56" s="652" t="s">
        <v>48</v>
      </c>
      <c r="I56" s="652"/>
      <c r="J56" s="652"/>
      <c r="K56" s="587" t="s">
        <v>49</v>
      </c>
    </row>
    <row r="57" spans="2:11" ht="22.5" customHeight="1" thickBot="1">
      <c r="B57" s="647"/>
      <c r="C57" s="648"/>
      <c r="D57" s="434" t="s">
        <v>336</v>
      </c>
      <c r="E57" s="434" t="s">
        <v>337</v>
      </c>
      <c r="F57" s="441" t="s">
        <v>50</v>
      </c>
      <c r="G57" s="651"/>
      <c r="H57" s="441" t="s">
        <v>51</v>
      </c>
      <c r="I57" s="441" t="s">
        <v>321</v>
      </c>
      <c r="J57" s="441" t="s">
        <v>52</v>
      </c>
      <c r="K57" s="653"/>
    </row>
    <row r="58" spans="2:11" ht="22.5" customHeight="1" thickBot="1">
      <c r="B58" s="185" t="s">
        <v>275</v>
      </c>
      <c r="C58" s="186" t="s">
        <v>422</v>
      </c>
      <c r="D58" s="300"/>
      <c r="E58" s="658">
        <f>E59+(E63*0.6)</f>
        <v>1132.8</v>
      </c>
      <c r="F58" s="659"/>
      <c r="G58" s="183"/>
      <c r="H58" s="183"/>
      <c r="I58" s="183"/>
      <c r="J58" s="183"/>
      <c r="K58" s="182"/>
    </row>
    <row r="59" spans="2:11" ht="22.5" customHeight="1" thickBot="1">
      <c r="B59" s="655" t="s">
        <v>277</v>
      </c>
      <c r="C59" s="640"/>
      <c r="D59" s="439"/>
      <c r="E59" s="654">
        <f>SUM(F60:F62)</f>
        <v>774</v>
      </c>
      <c r="F59" s="654"/>
      <c r="G59" s="187"/>
      <c r="H59" s="187"/>
      <c r="I59" s="187"/>
      <c r="J59" s="187"/>
      <c r="K59" s="188"/>
    </row>
    <row r="60" spans="2:11" ht="22.5" customHeight="1">
      <c r="B60" s="633" t="s">
        <v>499</v>
      </c>
      <c r="C60" s="634"/>
      <c r="D60" s="409" t="s">
        <v>339</v>
      </c>
      <c r="E60" s="409" t="s">
        <v>340</v>
      </c>
      <c r="F60" s="458">
        <v>300</v>
      </c>
      <c r="G60" s="305" t="s">
        <v>19</v>
      </c>
      <c r="H60" s="306" t="s">
        <v>105</v>
      </c>
      <c r="I60" s="306" t="s">
        <v>327</v>
      </c>
      <c r="J60" s="306" t="s">
        <v>266</v>
      </c>
      <c r="K60" s="307" t="s">
        <v>76</v>
      </c>
    </row>
    <row r="61" spans="2:11" ht="22.5" customHeight="1">
      <c r="B61" s="635" t="s">
        <v>499</v>
      </c>
      <c r="C61" s="636"/>
      <c r="D61" s="410" t="s">
        <v>341</v>
      </c>
      <c r="E61" s="410" t="s">
        <v>342</v>
      </c>
      <c r="F61" s="456">
        <v>221</v>
      </c>
      <c r="G61" s="308" t="s">
        <v>19</v>
      </c>
      <c r="H61" s="309" t="s">
        <v>105</v>
      </c>
      <c r="I61" s="309" t="s">
        <v>325</v>
      </c>
      <c r="J61" s="309" t="s">
        <v>266</v>
      </c>
      <c r="K61" s="310" t="s">
        <v>76</v>
      </c>
    </row>
    <row r="62" spans="2:11" ht="22.5" customHeight="1" thickBot="1">
      <c r="B62" s="637" t="s">
        <v>499</v>
      </c>
      <c r="C62" s="638"/>
      <c r="D62" s="411" t="s">
        <v>343</v>
      </c>
      <c r="E62" s="411" t="s">
        <v>342</v>
      </c>
      <c r="F62" s="457">
        <v>253</v>
      </c>
      <c r="G62" s="311" t="s">
        <v>19</v>
      </c>
      <c r="H62" s="312" t="s">
        <v>105</v>
      </c>
      <c r="I62" s="312" t="s">
        <v>325</v>
      </c>
      <c r="J62" s="312" t="s">
        <v>266</v>
      </c>
      <c r="K62" s="313" t="s">
        <v>76</v>
      </c>
    </row>
    <row r="63" spans="2:11" ht="22.5" customHeight="1" thickBot="1">
      <c r="B63" s="639" t="s">
        <v>278</v>
      </c>
      <c r="C63" s="640"/>
      <c r="D63" s="439"/>
      <c r="E63" s="641">
        <f>SUM(F64:F66)</f>
        <v>598</v>
      </c>
      <c r="F63" s="641"/>
      <c r="G63" s="180"/>
      <c r="H63" s="180"/>
      <c r="I63" s="180"/>
      <c r="J63" s="180"/>
      <c r="K63" s="181"/>
    </row>
    <row r="64" spans="2:11" ht="22.5" customHeight="1">
      <c r="B64" s="642" t="s">
        <v>402</v>
      </c>
      <c r="C64" s="643"/>
      <c r="D64" s="409" t="s">
        <v>339</v>
      </c>
      <c r="E64" s="409" t="s">
        <v>340</v>
      </c>
      <c r="F64" s="458">
        <v>124</v>
      </c>
      <c r="G64" s="305" t="s">
        <v>19</v>
      </c>
      <c r="H64" s="306" t="s">
        <v>105</v>
      </c>
      <c r="I64" s="306" t="s">
        <v>344</v>
      </c>
      <c r="J64" s="306" t="s">
        <v>266</v>
      </c>
      <c r="K64" s="307" t="s">
        <v>76</v>
      </c>
    </row>
    <row r="65" spans="2:11" ht="22.5" customHeight="1">
      <c r="B65" s="644" t="s">
        <v>402</v>
      </c>
      <c r="C65" s="645"/>
      <c r="D65" s="410" t="s">
        <v>341</v>
      </c>
      <c r="E65" s="410" t="s">
        <v>342</v>
      </c>
      <c r="F65" s="456">
        <v>221</v>
      </c>
      <c r="G65" s="308" t="s">
        <v>19</v>
      </c>
      <c r="H65" s="309" t="s">
        <v>105</v>
      </c>
      <c r="I65" s="309" t="s">
        <v>344</v>
      </c>
      <c r="J65" s="309" t="s">
        <v>266</v>
      </c>
      <c r="K65" s="310" t="s">
        <v>76</v>
      </c>
    </row>
    <row r="66" spans="2:11" ht="22.5" customHeight="1" thickBot="1">
      <c r="B66" s="631" t="s">
        <v>402</v>
      </c>
      <c r="C66" s="632"/>
      <c r="D66" s="411" t="s">
        <v>343</v>
      </c>
      <c r="E66" s="411" t="s">
        <v>342</v>
      </c>
      <c r="F66" s="457">
        <v>253</v>
      </c>
      <c r="G66" s="311" t="s">
        <v>19</v>
      </c>
      <c r="H66" s="312" t="s">
        <v>105</v>
      </c>
      <c r="I66" s="312" t="s">
        <v>344</v>
      </c>
      <c r="J66" s="312" t="s">
        <v>266</v>
      </c>
      <c r="K66" s="313" t="s">
        <v>76</v>
      </c>
    </row>
    <row r="67" spans="2:11" ht="22.5" customHeight="1">
      <c r="B67" s="34"/>
      <c r="C67" s="66"/>
      <c r="D67" s="66"/>
      <c r="E67" s="34"/>
      <c r="F67" s="33"/>
      <c r="G67" s="33"/>
      <c r="H67" s="33"/>
      <c r="I67" s="33"/>
      <c r="J67" s="33"/>
      <c r="K67" s="34"/>
    </row>
    <row r="68" spans="2:11" ht="22.5" customHeight="1">
      <c r="B68" s="34"/>
      <c r="C68" s="66"/>
      <c r="D68" s="66"/>
      <c r="E68" s="34"/>
      <c r="F68" s="33"/>
      <c r="G68" s="33"/>
      <c r="H68" s="33"/>
      <c r="I68" s="33"/>
      <c r="J68" s="33"/>
      <c r="K68" s="34"/>
    </row>
    <row r="69" spans="2:11" ht="22.5" customHeight="1">
      <c r="B69" s="34"/>
      <c r="C69" s="66"/>
      <c r="D69" s="66"/>
      <c r="E69" s="34"/>
      <c r="F69" s="33"/>
      <c r="G69" s="33"/>
      <c r="H69" s="33"/>
      <c r="I69" s="33"/>
      <c r="J69" s="33"/>
      <c r="K69" s="34"/>
    </row>
    <row r="70" spans="2:11" ht="22.5" customHeight="1">
      <c r="B70" s="34"/>
      <c r="C70" s="66"/>
      <c r="D70" s="66"/>
      <c r="E70" s="34"/>
      <c r="F70" s="33"/>
      <c r="G70" s="33"/>
      <c r="H70" s="33"/>
      <c r="I70" s="33"/>
      <c r="J70" s="33"/>
      <c r="K70" s="34"/>
    </row>
    <row r="71" spans="2:11" ht="22.5" customHeight="1">
      <c r="B71" s="34"/>
      <c r="C71" s="66"/>
      <c r="D71" s="66"/>
      <c r="E71" s="34"/>
      <c r="F71" s="33"/>
      <c r="G71" s="33"/>
      <c r="H71" s="33"/>
      <c r="I71" s="33"/>
      <c r="J71" s="33"/>
      <c r="K71" s="34"/>
    </row>
    <row r="72" spans="2:11" ht="22.5" customHeight="1">
      <c r="B72" s="34"/>
      <c r="C72" s="66"/>
      <c r="D72" s="66"/>
      <c r="E72" s="34"/>
      <c r="F72" s="33"/>
      <c r="G72" s="33"/>
      <c r="H72" s="33"/>
      <c r="I72" s="33"/>
      <c r="J72" s="33"/>
      <c r="K72" s="34"/>
    </row>
    <row r="73" spans="2:11" ht="22.5" customHeight="1">
      <c r="B73" s="34"/>
      <c r="C73" s="66"/>
      <c r="D73" s="66"/>
      <c r="E73" s="34"/>
      <c r="F73" s="33"/>
      <c r="G73" s="33"/>
      <c r="H73" s="33"/>
      <c r="I73" s="33"/>
      <c r="J73" s="33"/>
      <c r="K73" s="34"/>
    </row>
    <row r="74" spans="2:11" ht="22.5" customHeight="1">
      <c r="B74" s="34"/>
      <c r="C74" s="66"/>
      <c r="D74" s="66"/>
      <c r="E74" s="34"/>
      <c r="F74" s="33"/>
      <c r="G74" s="33"/>
      <c r="H74" s="33"/>
      <c r="I74" s="33"/>
      <c r="J74" s="33"/>
      <c r="K74" s="34"/>
    </row>
    <row r="75" spans="2:11" ht="22.5" customHeight="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 s="64" customFormat="1" ht="22.5" customHeight="1" thickBot="1">
      <c r="B76" s="122" t="s">
        <v>208</v>
      </c>
      <c r="C76" s="122" t="str">
        <f>참여기술인명단!B6</f>
        <v>분야별
건설사업
관리기술인</v>
      </c>
      <c r="D76" s="122"/>
      <c r="E76" s="122" t="str">
        <f>참여기술인명단!D8</f>
        <v>홍길사</v>
      </c>
      <c r="F76" s="141"/>
      <c r="G76" s="141"/>
      <c r="H76" s="141"/>
      <c r="I76" s="141"/>
      <c r="J76" s="141"/>
      <c r="K76" s="142"/>
    </row>
    <row r="77" spans="2:11" ht="22.5" customHeight="1">
      <c r="B77" s="646" t="s">
        <v>190</v>
      </c>
      <c r="C77" s="570"/>
      <c r="D77" s="570"/>
      <c r="E77" s="570"/>
      <c r="F77" s="570"/>
      <c r="G77" s="570"/>
      <c r="H77" s="570"/>
      <c r="I77" s="570"/>
      <c r="J77" s="570"/>
      <c r="K77" s="627"/>
    </row>
    <row r="78" spans="2:11" ht="22.5" customHeight="1">
      <c r="B78" s="578" t="s">
        <v>46</v>
      </c>
      <c r="C78" s="575"/>
      <c r="D78" s="581" t="s">
        <v>338</v>
      </c>
      <c r="E78" s="649"/>
      <c r="F78" s="582"/>
      <c r="G78" s="650" t="s">
        <v>320</v>
      </c>
      <c r="H78" s="652" t="s">
        <v>48</v>
      </c>
      <c r="I78" s="652"/>
      <c r="J78" s="652"/>
      <c r="K78" s="587" t="s">
        <v>49</v>
      </c>
    </row>
    <row r="79" spans="2:11" ht="22.5" customHeight="1" thickBot="1">
      <c r="B79" s="647"/>
      <c r="C79" s="648"/>
      <c r="D79" s="434" t="s">
        <v>336</v>
      </c>
      <c r="E79" s="434" t="s">
        <v>337</v>
      </c>
      <c r="F79" s="441" t="s">
        <v>50</v>
      </c>
      <c r="G79" s="651"/>
      <c r="H79" s="441" t="s">
        <v>51</v>
      </c>
      <c r="I79" s="441" t="s">
        <v>321</v>
      </c>
      <c r="J79" s="441" t="s">
        <v>52</v>
      </c>
      <c r="K79" s="653"/>
    </row>
    <row r="80" spans="2:11" ht="22.5" customHeight="1" thickBot="1">
      <c r="B80" s="185" t="s">
        <v>275</v>
      </c>
      <c r="C80" s="186" t="s">
        <v>276</v>
      </c>
      <c r="D80" s="300"/>
      <c r="E80" s="658">
        <f>E81+(E85*0.6)</f>
        <v>1132.8</v>
      </c>
      <c r="F80" s="659"/>
      <c r="G80" s="183"/>
      <c r="H80" s="183"/>
      <c r="I80" s="183"/>
      <c r="J80" s="183"/>
      <c r="K80" s="182"/>
    </row>
    <row r="81" spans="2:11" ht="22.5" customHeight="1" thickBot="1">
      <c r="B81" s="655" t="s">
        <v>277</v>
      </c>
      <c r="C81" s="640"/>
      <c r="D81" s="439"/>
      <c r="E81" s="654">
        <f>SUM(F82:F84)</f>
        <v>774</v>
      </c>
      <c r="F81" s="654"/>
      <c r="G81" s="187"/>
      <c r="H81" s="187"/>
      <c r="I81" s="187"/>
      <c r="J81" s="187"/>
      <c r="K81" s="188"/>
    </row>
    <row r="82" spans="2:11" ht="22.5" customHeight="1">
      <c r="B82" s="633" t="s">
        <v>499</v>
      </c>
      <c r="C82" s="634"/>
      <c r="D82" s="409" t="s">
        <v>339</v>
      </c>
      <c r="E82" s="409" t="s">
        <v>340</v>
      </c>
      <c r="F82" s="458">
        <v>300</v>
      </c>
      <c r="G82" s="305" t="s">
        <v>19</v>
      </c>
      <c r="H82" s="306" t="s">
        <v>105</v>
      </c>
      <c r="I82" s="306" t="s">
        <v>327</v>
      </c>
      <c r="J82" s="306" t="s">
        <v>266</v>
      </c>
      <c r="K82" s="307" t="s">
        <v>76</v>
      </c>
    </row>
    <row r="83" spans="2:11" ht="22.5" customHeight="1">
      <c r="B83" s="635" t="s">
        <v>499</v>
      </c>
      <c r="C83" s="636"/>
      <c r="D83" s="410" t="s">
        <v>341</v>
      </c>
      <c r="E83" s="410" t="s">
        <v>342</v>
      </c>
      <c r="F83" s="456">
        <v>221</v>
      </c>
      <c r="G83" s="308" t="s">
        <v>19</v>
      </c>
      <c r="H83" s="309" t="s">
        <v>105</v>
      </c>
      <c r="I83" s="309" t="s">
        <v>325</v>
      </c>
      <c r="J83" s="309" t="s">
        <v>266</v>
      </c>
      <c r="K83" s="310" t="s">
        <v>76</v>
      </c>
    </row>
    <row r="84" spans="2:11" ht="22.5" customHeight="1" thickBot="1">
      <c r="B84" s="637" t="s">
        <v>499</v>
      </c>
      <c r="C84" s="638"/>
      <c r="D84" s="411" t="s">
        <v>343</v>
      </c>
      <c r="E84" s="411" t="s">
        <v>342</v>
      </c>
      <c r="F84" s="457">
        <v>253</v>
      </c>
      <c r="G84" s="311" t="s">
        <v>19</v>
      </c>
      <c r="H84" s="312" t="s">
        <v>105</v>
      </c>
      <c r="I84" s="312" t="s">
        <v>325</v>
      </c>
      <c r="J84" s="312" t="s">
        <v>266</v>
      </c>
      <c r="K84" s="313" t="s">
        <v>76</v>
      </c>
    </row>
    <row r="85" spans="2:11" ht="22.5" customHeight="1" thickBot="1">
      <c r="B85" s="639" t="s">
        <v>278</v>
      </c>
      <c r="C85" s="640"/>
      <c r="D85" s="439"/>
      <c r="E85" s="641">
        <f>SUM(F86:F88)</f>
        <v>598</v>
      </c>
      <c r="F85" s="641"/>
      <c r="G85" s="180"/>
      <c r="H85" s="180"/>
      <c r="I85" s="180"/>
      <c r="J85" s="180"/>
      <c r="K85" s="181"/>
    </row>
    <row r="86" spans="2:11" ht="22.5" customHeight="1">
      <c r="B86" s="642" t="s">
        <v>402</v>
      </c>
      <c r="C86" s="643"/>
      <c r="D86" s="409" t="s">
        <v>339</v>
      </c>
      <c r="E86" s="409" t="s">
        <v>340</v>
      </c>
      <c r="F86" s="458">
        <v>124</v>
      </c>
      <c r="G86" s="305" t="s">
        <v>19</v>
      </c>
      <c r="H86" s="306" t="s">
        <v>105</v>
      </c>
      <c r="I86" s="306" t="s">
        <v>344</v>
      </c>
      <c r="J86" s="306" t="s">
        <v>266</v>
      </c>
      <c r="K86" s="307" t="s">
        <v>76</v>
      </c>
    </row>
    <row r="87" spans="2:11" ht="22.5" customHeight="1">
      <c r="B87" s="644" t="s">
        <v>402</v>
      </c>
      <c r="C87" s="645"/>
      <c r="D87" s="410" t="s">
        <v>341</v>
      </c>
      <c r="E87" s="410" t="s">
        <v>342</v>
      </c>
      <c r="F87" s="456">
        <v>221</v>
      </c>
      <c r="G87" s="308" t="s">
        <v>19</v>
      </c>
      <c r="H87" s="309" t="s">
        <v>105</v>
      </c>
      <c r="I87" s="309" t="s">
        <v>344</v>
      </c>
      <c r="J87" s="309" t="s">
        <v>266</v>
      </c>
      <c r="K87" s="310" t="s">
        <v>76</v>
      </c>
    </row>
    <row r="88" spans="2:11" ht="22.5" customHeight="1" thickBot="1">
      <c r="B88" s="631" t="s">
        <v>402</v>
      </c>
      <c r="C88" s="632"/>
      <c r="D88" s="411" t="s">
        <v>343</v>
      </c>
      <c r="E88" s="411" t="s">
        <v>342</v>
      </c>
      <c r="F88" s="457">
        <v>253</v>
      </c>
      <c r="G88" s="311" t="s">
        <v>19</v>
      </c>
      <c r="H88" s="312" t="s">
        <v>105</v>
      </c>
      <c r="I88" s="312" t="s">
        <v>344</v>
      </c>
      <c r="J88" s="312" t="s">
        <v>266</v>
      </c>
      <c r="K88" s="313" t="s">
        <v>76</v>
      </c>
    </row>
    <row r="89" spans="2:11" ht="22.5" customHeight="1">
      <c r="B89" s="34"/>
      <c r="C89" s="66"/>
      <c r="D89" s="66"/>
      <c r="E89" s="34"/>
      <c r="F89" s="33"/>
      <c r="G89" s="33"/>
      <c r="H89" s="33"/>
      <c r="I89" s="33"/>
      <c r="J89" s="33"/>
      <c r="K89" s="34"/>
    </row>
    <row r="90" spans="2:11" ht="22.5" customHeight="1">
      <c r="B90" s="34"/>
      <c r="C90" s="66"/>
      <c r="D90" s="66"/>
      <c r="E90" s="34"/>
      <c r="F90" s="33"/>
      <c r="G90" s="33"/>
      <c r="H90" s="33"/>
      <c r="I90" s="33"/>
      <c r="J90" s="33"/>
      <c r="K90" s="34"/>
    </row>
    <row r="91" spans="2:11" ht="22.5" customHeight="1">
      <c r="B91" s="34"/>
      <c r="C91" s="66"/>
      <c r="D91" s="66"/>
      <c r="E91" s="34"/>
      <c r="F91" s="33"/>
      <c r="G91" s="33"/>
      <c r="H91" s="33"/>
      <c r="I91" s="33"/>
      <c r="J91" s="33"/>
      <c r="K91" s="34"/>
    </row>
    <row r="92" spans="2:11" ht="22.5" customHeight="1">
      <c r="B92" s="34"/>
      <c r="C92" s="66"/>
      <c r="D92" s="66"/>
      <c r="E92" s="34"/>
      <c r="F92" s="33"/>
      <c r="G92" s="33"/>
      <c r="H92" s="33"/>
      <c r="I92" s="33"/>
      <c r="J92" s="33"/>
      <c r="K92" s="34"/>
    </row>
    <row r="93" spans="2:11" ht="22.5" customHeight="1">
      <c r="B93" s="34"/>
      <c r="C93" s="66"/>
      <c r="D93" s="66"/>
      <c r="E93" s="34"/>
      <c r="F93" s="33"/>
      <c r="G93" s="33"/>
      <c r="H93" s="33"/>
      <c r="I93" s="33"/>
      <c r="J93" s="33"/>
      <c r="K93" s="34"/>
    </row>
    <row r="94" spans="2:11" ht="22.5" customHeight="1">
      <c r="B94" s="34"/>
      <c r="C94" s="66"/>
      <c r="D94" s="66"/>
      <c r="E94" s="34"/>
      <c r="F94" s="33"/>
      <c r="G94" s="33"/>
      <c r="H94" s="33"/>
      <c r="I94" s="33"/>
      <c r="J94" s="33"/>
      <c r="K94" s="34"/>
    </row>
    <row r="95" spans="2:11" ht="22.5" customHeight="1">
      <c r="B95" s="34"/>
      <c r="C95" s="66"/>
      <c r="D95" s="66"/>
      <c r="E95" s="34"/>
      <c r="F95" s="33"/>
      <c r="G95" s="33"/>
      <c r="H95" s="33"/>
      <c r="I95" s="33"/>
      <c r="J95" s="33"/>
      <c r="K95" s="34"/>
    </row>
    <row r="96" spans="2:11" ht="22.5" customHeight="1">
      <c r="B96" s="34"/>
      <c r="C96" s="66"/>
      <c r="D96" s="66"/>
      <c r="E96" s="34"/>
      <c r="F96" s="33"/>
      <c r="G96" s="33"/>
      <c r="H96" s="33"/>
      <c r="I96" s="33"/>
      <c r="J96" s="33"/>
      <c r="K96" s="34"/>
    </row>
    <row r="97" spans="2:11" ht="22.5" customHeight="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 s="64" customFormat="1" ht="22.5" customHeight="1" thickBot="1">
      <c r="B98" s="122" t="s">
        <v>208</v>
      </c>
      <c r="C98" s="122" t="str">
        <f>참여기술인명단!B9</f>
        <v>기술지원
기술인</v>
      </c>
      <c r="D98" s="122"/>
      <c r="E98" s="122" t="str">
        <f>참여기술인명단!D9</f>
        <v>홍길오</v>
      </c>
      <c r="F98" s="660" t="str">
        <f>'가.개인별 경력 및 실적목록'!C10</f>
        <v>건축분야
(특급기술인)</v>
      </c>
      <c r="G98" s="660"/>
      <c r="H98" s="141"/>
      <c r="I98" s="141"/>
      <c r="J98" s="141"/>
      <c r="K98" s="142"/>
    </row>
    <row r="99" spans="2:11" ht="22.5" customHeight="1">
      <c r="B99" s="646" t="s">
        <v>190</v>
      </c>
      <c r="C99" s="570"/>
      <c r="D99" s="570"/>
      <c r="E99" s="570"/>
      <c r="F99" s="570"/>
      <c r="G99" s="570"/>
      <c r="H99" s="570"/>
      <c r="I99" s="570"/>
      <c r="J99" s="570"/>
      <c r="K99" s="627"/>
    </row>
    <row r="100" spans="2:11" ht="22.5" customHeight="1">
      <c r="B100" s="578" t="s">
        <v>46</v>
      </c>
      <c r="C100" s="575"/>
      <c r="D100" s="581" t="s">
        <v>338</v>
      </c>
      <c r="E100" s="649"/>
      <c r="F100" s="582"/>
      <c r="G100" s="650" t="s">
        <v>323</v>
      </c>
      <c r="H100" s="652" t="s">
        <v>48</v>
      </c>
      <c r="I100" s="652"/>
      <c r="J100" s="652"/>
      <c r="K100" s="587" t="s">
        <v>49</v>
      </c>
    </row>
    <row r="101" spans="2:11" ht="22.5" customHeight="1" thickBot="1">
      <c r="B101" s="647"/>
      <c r="C101" s="648"/>
      <c r="D101" s="391" t="s">
        <v>336</v>
      </c>
      <c r="E101" s="391" t="s">
        <v>337</v>
      </c>
      <c r="F101" s="397" t="s">
        <v>50</v>
      </c>
      <c r="G101" s="651"/>
      <c r="H101" s="156" t="s">
        <v>51</v>
      </c>
      <c r="I101" s="384" t="s">
        <v>321</v>
      </c>
      <c r="J101" s="156" t="s">
        <v>52</v>
      </c>
      <c r="K101" s="653"/>
    </row>
    <row r="102" spans="2:11" ht="22.5" customHeight="1" thickBot="1">
      <c r="B102" s="185" t="s">
        <v>275</v>
      </c>
      <c r="C102" s="186" t="s">
        <v>276</v>
      </c>
      <c r="D102" s="300"/>
      <c r="E102" s="658">
        <f>E103+(E107*0.6)</f>
        <v>1132.8</v>
      </c>
      <c r="F102" s="659"/>
      <c r="G102" s="183"/>
      <c r="H102" s="183"/>
      <c r="I102" s="183"/>
      <c r="J102" s="183"/>
      <c r="K102" s="182"/>
    </row>
    <row r="103" spans="2:11" ht="22.5" customHeight="1" thickBot="1">
      <c r="B103" s="655" t="s">
        <v>277</v>
      </c>
      <c r="C103" s="640"/>
      <c r="D103" s="236"/>
      <c r="E103" s="654">
        <f>SUM(F104:F106)</f>
        <v>774</v>
      </c>
      <c r="F103" s="654"/>
      <c r="G103" s="187"/>
      <c r="H103" s="187"/>
      <c r="I103" s="187"/>
      <c r="J103" s="187"/>
      <c r="K103" s="188"/>
    </row>
    <row r="104" spans="2:11" ht="22.5" customHeight="1">
      <c r="B104" s="633" t="s">
        <v>499</v>
      </c>
      <c r="C104" s="634"/>
      <c r="D104" s="409" t="s">
        <v>339</v>
      </c>
      <c r="E104" s="409" t="s">
        <v>340</v>
      </c>
      <c r="F104" s="458">
        <v>300</v>
      </c>
      <c r="G104" s="305" t="s">
        <v>19</v>
      </c>
      <c r="H104" s="306" t="s">
        <v>105</v>
      </c>
      <c r="I104" s="306" t="s">
        <v>327</v>
      </c>
      <c r="J104" s="306" t="s">
        <v>266</v>
      </c>
      <c r="K104" s="307" t="s">
        <v>76</v>
      </c>
    </row>
    <row r="105" spans="2:11" ht="22.5" customHeight="1">
      <c r="B105" s="635" t="s">
        <v>499</v>
      </c>
      <c r="C105" s="636"/>
      <c r="D105" s="410" t="s">
        <v>341</v>
      </c>
      <c r="E105" s="410" t="s">
        <v>342</v>
      </c>
      <c r="F105" s="456">
        <v>221</v>
      </c>
      <c r="G105" s="308" t="s">
        <v>19</v>
      </c>
      <c r="H105" s="309" t="s">
        <v>105</v>
      </c>
      <c r="I105" s="309" t="s">
        <v>325</v>
      </c>
      <c r="J105" s="309" t="s">
        <v>266</v>
      </c>
      <c r="K105" s="310" t="s">
        <v>76</v>
      </c>
    </row>
    <row r="106" spans="2:11" ht="22.5" customHeight="1" thickBot="1">
      <c r="B106" s="637" t="s">
        <v>499</v>
      </c>
      <c r="C106" s="638"/>
      <c r="D106" s="411" t="s">
        <v>343</v>
      </c>
      <c r="E106" s="411" t="s">
        <v>342</v>
      </c>
      <c r="F106" s="457">
        <v>253</v>
      </c>
      <c r="G106" s="311" t="s">
        <v>19</v>
      </c>
      <c r="H106" s="312" t="s">
        <v>105</v>
      </c>
      <c r="I106" s="312" t="s">
        <v>325</v>
      </c>
      <c r="J106" s="312" t="s">
        <v>266</v>
      </c>
      <c r="K106" s="313" t="s">
        <v>76</v>
      </c>
    </row>
    <row r="107" spans="2:11" ht="22.5" customHeight="1" thickBot="1">
      <c r="B107" s="639" t="s">
        <v>278</v>
      </c>
      <c r="C107" s="640"/>
      <c r="D107" s="236"/>
      <c r="E107" s="641">
        <f>SUM(F108:F110)</f>
        <v>598</v>
      </c>
      <c r="F107" s="641"/>
      <c r="G107" s="180"/>
      <c r="H107" s="180"/>
      <c r="I107" s="180"/>
      <c r="J107" s="180"/>
      <c r="K107" s="181"/>
    </row>
    <row r="108" spans="2:11" ht="22.5" customHeight="1">
      <c r="B108" s="642" t="s">
        <v>402</v>
      </c>
      <c r="C108" s="643"/>
      <c r="D108" s="409" t="s">
        <v>339</v>
      </c>
      <c r="E108" s="409" t="s">
        <v>340</v>
      </c>
      <c r="F108" s="458">
        <v>124</v>
      </c>
      <c r="G108" s="305" t="s">
        <v>19</v>
      </c>
      <c r="H108" s="306" t="s">
        <v>105</v>
      </c>
      <c r="I108" s="306" t="s">
        <v>344</v>
      </c>
      <c r="J108" s="306" t="s">
        <v>266</v>
      </c>
      <c r="K108" s="307" t="s">
        <v>76</v>
      </c>
    </row>
    <row r="109" spans="2:11" ht="22.5" customHeight="1">
      <c r="B109" s="644" t="s">
        <v>402</v>
      </c>
      <c r="C109" s="645"/>
      <c r="D109" s="410" t="s">
        <v>341</v>
      </c>
      <c r="E109" s="410" t="s">
        <v>342</v>
      </c>
      <c r="F109" s="456">
        <v>221</v>
      </c>
      <c r="G109" s="308" t="s">
        <v>19</v>
      </c>
      <c r="H109" s="309" t="s">
        <v>105</v>
      </c>
      <c r="I109" s="309" t="s">
        <v>344</v>
      </c>
      <c r="J109" s="309" t="s">
        <v>266</v>
      </c>
      <c r="K109" s="310" t="s">
        <v>76</v>
      </c>
    </row>
    <row r="110" spans="2:11" ht="22.5" customHeight="1" thickBot="1">
      <c r="B110" s="631" t="s">
        <v>402</v>
      </c>
      <c r="C110" s="632"/>
      <c r="D110" s="411" t="s">
        <v>343</v>
      </c>
      <c r="E110" s="411" t="s">
        <v>342</v>
      </c>
      <c r="F110" s="457">
        <v>253</v>
      </c>
      <c r="G110" s="311" t="s">
        <v>19</v>
      </c>
      <c r="H110" s="312" t="s">
        <v>105</v>
      </c>
      <c r="I110" s="312" t="s">
        <v>344</v>
      </c>
      <c r="J110" s="312" t="s">
        <v>266</v>
      </c>
      <c r="K110" s="313" t="s">
        <v>76</v>
      </c>
    </row>
    <row r="111" spans="2:11" ht="22.5" customHeight="1">
      <c r="B111" s="34"/>
      <c r="C111" s="34"/>
      <c r="D111" s="34"/>
      <c r="E111" s="34"/>
      <c r="F111" s="34"/>
      <c r="G111" s="315"/>
      <c r="H111" s="33"/>
      <c r="I111" s="33"/>
      <c r="J111" s="33"/>
      <c r="K111" s="34"/>
    </row>
    <row r="112" spans="2:11" ht="22.5" customHeight="1">
      <c r="B112" s="34"/>
      <c r="C112" s="34"/>
      <c r="D112" s="34"/>
      <c r="E112" s="34"/>
      <c r="F112" s="34"/>
      <c r="G112" s="315"/>
      <c r="H112" s="33"/>
      <c r="I112" s="33"/>
      <c r="J112" s="33"/>
      <c r="K112" s="34"/>
    </row>
    <row r="113" spans="2:11" ht="22.5" customHeight="1">
      <c r="B113" s="34"/>
      <c r="C113" s="34"/>
      <c r="D113" s="34"/>
      <c r="E113" s="34"/>
      <c r="F113" s="34"/>
      <c r="G113" s="315"/>
      <c r="H113" s="33"/>
      <c r="I113" s="33"/>
      <c r="J113" s="33"/>
      <c r="K113" s="34"/>
    </row>
    <row r="114" spans="2:11" ht="22.5" customHeight="1">
      <c r="B114" s="34"/>
      <c r="C114" s="34"/>
      <c r="D114" s="34"/>
      <c r="E114" s="34"/>
      <c r="F114" s="34"/>
      <c r="G114" s="315"/>
      <c r="H114" s="33"/>
      <c r="I114" s="33"/>
      <c r="J114" s="33"/>
      <c r="K114" s="34"/>
    </row>
    <row r="115" spans="2:11" ht="22.5" customHeight="1">
      <c r="B115" s="34"/>
      <c r="C115" s="34"/>
      <c r="D115" s="34"/>
      <c r="E115" s="34"/>
      <c r="F115" s="34"/>
      <c r="G115" s="315"/>
      <c r="H115" s="33"/>
      <c r="I115" s="33"/>
      <c r="J115" s="33"/>
      <c r="K115" s="34"/>
    </row>
    <row r="116" spans="2:11" ht="22.5" customHeight="1">
      <c r="B116" s="34"/>
      <c r="C116" s="34"/>
      <c r="D116" s="34"/>
      <c r="E116" s="34"/>
      <c r="F116" s="34"/>
      <c r="G116" s="315"/>
      <c r="H116" s="33"/>
      <c r="I116" s="33"/>
      <c r="J116" s="33"/>
      <c r="K116" s="34"/>
    </row>
    <row r="117" spans="2:11" ht="22.5" customHeight="1">
      <c r="B117" s="34"/>
      <c r="C117" s="34"/>
      <c r="D117" s="34"/>
      <c r="E117" s="34"/>
      <c r="F117" s="34"/>
      <c r="G117" s="315"/>
      <c r="H117" s="33"/>
      <c r="I117" s="33"/>
      <c r="J117" s="33"/>
      <c r="K117" s="34"/>
    </row>
    <row r="118" spans="2:11" ht="22.5" customHeight="1">
      <c r="B118" s="34"/>
      <c r="C118" s="34"/>
      <c r="D118" s="34"/>
      <c r="E118" s="34"/>
      <c r="F118" s="34"/>
      <c r="G118" s="315"/>
      <c r="H118" s="33"/>
      <c r="I118" s="33"/>
      <c r="J118" s="33"/>
      <c r="K118" s="34"/>
    </row>
    <row r="119" spans="2:11" ht="22.5" customHeight="1">
      <c r="B119" s="34"/>
      <c r="C119" s="66"/>
      <c r="D119" s="66"/>
      <c r="E119" s="34"/>
      <c r="F119" s="33"/>
      <c r="G119" s="33"/>
      <c r="H119" s="33"/>
      <c r="I119" s="33"/>
      <c r="J119" s="33"/>
      <c r="K119" s="34"/>
    </row>
    <row r="120" spans="2:11" s="64" customFormat="1" ht="22.5" customHeight="1" thickBot="1">
      <c r="B120" s="122" t="s">
        <v>208</v>
      </c>
      <c r="C120" s="122" t="str">
        <f>참여기술인명단!B9</f>
        <v>기술지원
기술인</v>
      </c>
      <c r="D120" s="122"/>
      <c r="E120" s="122" t="str">
        <f>참여기술인명단!D10</f>
        <v>홍길육</v>
      </c>
      <c r="F120" s="660" t="str">
        <f>'가.개인별 경력 및 실적목록'!C11</f>
        <v>토목분야
(특급기술인)</v>
      </c>
      <c r="G120" s="660"/>
      <c r="H120" s="141"/>
      <c r="I120" s="141"/>
      <c r="J120" s="141"/>
      <c r="K120" s="142"/>
    </row>
    <row r="121" spans="2:11" ht="22.5" customHeight="1">
      <c r="B121" s="646" t="s">
        <v>190</v>
      </c>
      <c r="C121" s="570"/>
      <c r="D121" s="570"/>
      <c r="E121" s="570"/>
      <c r="F121" s="570"/>
      <c r="G121" s="570"/>
      <c r="H121" s="570"/>
      <c r="I121" s="570"/>
      <c r="J121" s="570"/>
      <c r="K121" s="627"/>
    </row>
    <row r="122" spans="2:11" ht="22.5" customHeight="1">
      <c r="B122" s="578" t="s">
        <v>46</v>
      </c>
      <c r="C122" s="575"/>
      <c r="D122" s="581" t="s">
        <v>338</v>
      </c>
      <c r="E122" s="649"/>
      <c r="F122" s="582"/>
      <c r="G122" s="650" t="s">
        <v>324</v>
      </c>
      <c r="H122" s="652" t="s">
        <v>48</v>
      </c>
      <c r="I122" s="652"/>
      <c r="J122" s="652"/>
      <c r="K122" s="587" t="s">
        <v>49</v>
      </c>
    </row>
    <row r="123" spans="2:11" ht="22.5" customHeight="1" thickBot="1">
      <c r="B123" s="647"/>
      <c r="C123" s="648"/>
      <c r="D123" s="391" t="s">
        <v>336</v>
      </c>
      <c r="E123" s="391" t="s">
        <v>337</v>
      </c>
      <c r="F123" s="397" t="s">
        <v>50</v>
      </c>
      <c r="G123" s="651"/>
      <c r="H123" s="156" t="s">
        <v>51</v>
      </c>
      <c r="I123" s="384" t="s">
        <v>321</v>
      </c>
      <c r="J123" s="156" t="s">
        <v>52</v>
      </c>
      <c r="K123" s="653"/>
    </row>
    <row r="124" spans="2:11" ht="22.5" customHeight="1" thickBot="1">
      <c r="B124" s="185" t="s">
        <v>275</v>
      </c>
      <c r="C124" s="186" t="s">
        <v>276</v>
      </c>
      <c r="D124" s="300"/>
      <c r="E124" s="658">
        <f>E125+(E129*0.6)</f>
        <v>1132.8</v>
      </c>
      <c r="F124" s="659"/>
      <c r="G124" s="183"/>
      <c r="H124" s="183"/>
      <c r="I124" s="183"/>
      <c r="J124" s="183"/>
      <c r="K124" s="182"/>
    </row>
    <row r="125" spans="2:11" ht="22.5" customHeight="1" thickBot="1">
      <c r="B125" s="655" t="s">
        <v>277</v>
      </c>
      <c r="C125" s="640"/>
      <c r="D125" s="236"/>
      <c r="E125" s="654">
        <f>SUM(F126:F128)</f>
        <v>774</v>
      </c>
      <c r="F125" s="654"/>
      <c r="G125" s="187"/>
      <c r="H125" s="187"/>
      <c r="I125" s="187"/>
      <c r="J125" s="187"/>
      <c r="K125" s="188"/>
    </row>
    <row r="126" spans="2:11" ht="22.5" customHeight="1">
      <c r="B126" s="633" t="s">
        <v>499</v>
      </c>
      <c r="C126" s="634"/>
      <c r="D126" s="409" t="s">
        <v>339</v>
      </c>
      <c r="E126" s="409" t="s">
        <v>340</v>
      </c>
      <c r="F126" s="458">
        <v>300</v>
      </c>
      <c r="G126" s="305" t="s">
        <v>19</v>
      </c>
      <c r="H126" s="306" t="s">
        <v>105</v>
      </c>
      <c r="I126" s="306" t="s">
        <v>327</v>
      </c>
      <c r="J126" s="306" t="s">
        <v>266</v>
      </c>
      <c r="K126" s="307" t="s">
        <v>76</v>
      </c>
    </row>
    <row r="127" spans="2:11" ht="22.5" customHeight="1">
      <c r="B127" s="635" t="s">
        <v>499</v>
      </c>
      <c r="C127" s="636"/>
      <c r="D127" s="410" t="s">
        <v>341</v>
      </c>
      <c r="E127" s="410" t="s">
        <v>342</v>
      </c>
      <c r="F127" s="456">
        <v>221</v>
      </c>
      <c r="G127" s="308" t="s">
        <v>19</v>
      </c>
      <c r="H127" s="309" t="s">
        <v>105</v>
      </c>
      <c r="I127" s="309" t="s">
        <v>325</v>
      </c>
      <c r="J127" s="309" t="s">
        <v>266</v>
      </c>
      <c r="K127" s="310" t="s">
        <v>76</v>
      </c>
    </row>
    <row r="128" spans="2:11" ht="22.5" customHeight="1" thickBot="1">
      <c r="B128" s="637" t="s">
        <v>499</v>
      </c>
      <c r="C128" s="638"/>
      <c r="D128" s="411" t="s">
        <v>343</v>
      </c>
      <c r="E128" s="411" t="s">
        <v>342</v>
      </c>
      <c r="F128" s="457">
        <v>253</v>
      </c>
      <c r="G128" s="311" t="s">
        <v>19</v>
      </c>
      <c r="H128" s="312" t="s">
        <v>105</v>
      </c>
      <c r="I128" s="312" t="s">
        <v>325</v>
      </c>
      <c r="J128" s="312" t="s">
        <v>266</v>
      </c>
      <c r="K128" s="313" t="s">
        <v>76</v>
      </c>
    </row>
    <row r="129" spans="2:11" ht="22.5" customHeight="1" thickBot="1">
      <c r="B129" s="639" t="s">
        <v>278</v>
      </c>
      <c r="C129" s="640"/>
      <c r="D129" s="236"/>
      <c r="E129" s="641">
        <f>SUM(F130:F132)</f>
        <v>598</v>
      </c>
      <c r="F129" s="641"/>
      <c r="G129" s="180"/>
      <c r="H129" s="180"/>
      <c r="I129" s="180"/>
      <c r="J129" s="180"/>
      <c r="K129" s="181"/>
    </row>
    <row r="130" spans="2:11" ht="22.5" customHeight="1">
      <c r="B130" s="642" t="s">
        <v>402</v>
      </c>
      <c r="C130" s="643"/>
      <c r="D130" s="409" t="s">
        <v>339</v>
      </c>
      <c r="E130" s="409" t="s">
        <v>340</v>
      </c>
      <c r="F130" s="458">
        <v>124</v>
      </c>
      <c r="G130" s="305" t="s">
        <v>19</v>
      </c>
      <c r="H130" s="306" t="s">
        <v>105</v>
      </c>
      <c r="I130" s="306" t="s">
        <v>344</v>
      </c>
      <c r="J130" s="306" t="s">
        <v>266</v>
      </c>
      <c r="K130" s="307" t="s">
        <v>76</v>
      </c>
    </row>
    <row r="131" spans="2:11" ht="22.5" customHeight="1">
      <c r="B131" s="644" t="s">
        <v>402</v>
      </c>
      <c r="C131" s="645"/>
      <c r="D131" s="410" t="s">
        <v>341</v>
      </c>
      <c r="E131" s="410" t="s">
        <v>342</v>
      </c>
      <c r="F131" s="456">
        <v>221</v>
      </c>
      <c r="G131" s="308" t="s">
        <v>19</v>
      </c>
      <c r="H131" s="309" t="s">
        <v>105</v>
      </c>
      <c r="I131" s="309" t="s">
        <v>344</v>
      </c>
      <c r="J131" s="309" t="s">
        <v>266</v>
      </c>
      <c r="K131" s="310" t="s">
        <v>76</v>
      </c>
    </row>
    <row r="132" spans="2:11" ht="22.5" customHeight="1" thickBot="1">
      <c r="B132" s="631" t="s">
        <v>402</v>
      </c>
      <c r="C132" s="632"/>
      <c r="D132" s="411" t="s">
        <v>343</v>
      </c>
      <c r="E132" s="411" t="s">
        <v>342</v>
      </c>
      <c r="F132" s="457">
        <v>253</v>
      </c>
      <c r="G132" s="311" t="s">
        <v>19</v>
      </c>
      <c r="H132" s="312" t="s">
        <v>105</v>
      </c>
      <c r="I132" s="312" t="s">
        <v>344</v>
      </c>
      <c r="J132" s="312" t="s">
        <v>266</v>
      </c>
      <c r="K132" s="313" t="s">
        <v>76</v>
      </c>
    </row>
    <row r="133" spans="2:11" ht="22.5" customHeight="1">
      <c r="B133" s="34"/>
      <c r="C133" s="66"/>
      <c r="D133" s="66"/>
      <c r="E133" s="34"/>
      <c r="F133" s="33"/>
      <c r="G133" s="33"/>
      <c r="H133" s="33"/>
      <c r="I133" s="33"/>
      <c r="J133" s="33"/>
      <c r="K133" s="34"/>
    </row>
    <row r="134" spans="2:11" ht="22.5" customHeight="1">
      <c r="B134" s="34"/>
      <c r="C134" s="66"/>
      <c r="D134" s="66"/>
      <c r="E134" s="34"/>
      <c r="F134" s="33"/>
      <c r="G134" s="33"/>
      <c r="H134" s="33"/>
      <c r="I134" s="33"/>
      <c r="J134" s="33"/>
      <c r="K134" s="34"/>
    </row>
    <row r="135" spans="2:11" ht="22.5" customHeight="1">
      <c r="B135" s="34"/>
      <c r="C135" s="66"/>
      <c r="D135" s="66"/>
      <c r="E135" s="34"/>
      <c r="F135" s="33"/>
      <c r="G135" s="33"/>
      <c r="H135" s="33"/>
      <c r="I135" s="33"/>
      <c r="J135" s="33"/>
      <c r="K135" s="34"/>
    </row>
    <row r="136" spans="2:11" ht="22.5" customHeight="1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2:11" ht="22.5" customHeight="1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2:11" ht="22.5" customHeight="1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2:11" ht="22.5" customHeight="1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2:11" ht="22.5" customHeight="1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2:11" ht="22.5" customHeight="1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2:11" ht="22.5" customHeight="1"/>
    <row r="143" spans="2:11" ht="22.5" customHeight="1"/>
    <row r="144" spans="2:11" ht="22.5" customHeight="1"/>
  </sheetData>
  <mergeCells count="113">
    <mergeCell ref="B130:C130"/>
    <mergeCell ref="B38:C38"/>
    <mergeCell ref="B39:C39"/>
    <mergeCell ref="B40:C40"/>
    <mergeCell ref="B42:C42"/>
    <mergeCell ref="B41:C41"/>
    <mergeCell ref="B43:C43"/>
    <mergeCell ref="B44:C44"/>
    <mergeCell ref="B104:C104"/>
    <mergeCell ref="B105:C105"/>
    <mergeCell ref="B60:C60"/>
    <mergeCell ref="B61:C61"/>
    <mergeCell ref="B62:C62"/>
    <mergeCell ref="B63:C63"/>
    <mergeCell ref="B55:K55"/>
    <mergeCell ref="B56:C57"/>
    <mergeCell ref="D56:F56"/>
    <mergeCell ref="G56:G57"/>
    <mergeCell ref="H56:J56"/>
    <mergeCell ref="K56:K57"/>
    <mergeCell ref="E58:F58"/>
    <mergeCell ref="B59:C59"/>
    <mergeCell ref="E124:F124"/>
    <mergeCell ref="B125:C125"/>
    <mergeCell ref="B131:C131"/>
    <mergeCell ref="B132:C132"/>
    <mergeCell ref="E41:F41"/>
    <mergeCell ref="E107:F107"/>
    <mergeCell ref="E129:F129"/>
    <mergeCell ref="F98:G98"/>
    <mergeCell ref="G5:G6"/>
    <mergeCell ref="B109:C109"/>
    <mergeCell ref="B110:C110"/>
    <mergeCell ref="B126:C126"/>
    <mergeCell ref="B127:C127"/>
    <mergeCell ref="B128:C128"/>
    <mergeCell ref="B129:C129"/>
    <mergeCell ref="B99:K99"/>
    <mergeCell ref="B100:C101"/>
    <mergeCell ref="G100:G101"/>
    <mergeCell ref="H100:J100"/>
    <mergeCell ref="K100:K101"/>
    <mergeCell ref="F120:G120"/>
    <mergeCell ref="B122:C123"/>
    <mergeCell ref="G122:G123"/>
    <mergeCell ref="H122:J122"/>
    <mergeCell ref="B19:C19"/>
    <mergeCell ref="B20:C20"/>
    <mergeCell ref="E125:F125"/>
    <mergeCell ref="E36:F36"/>
    <mergeCell ref="B37:C37"/>
    <mergeCell ref="E37:F37"/>
    <mergeCell ref="B33:K33"/>
    <mergeCell ref="B34:C35"/>
    <mergeCell ref="G34:G35"/>
    <mergeCell ref="H34:J34"/>
    <mergeCell ref="K34:K35"/>
    <mergeCell ref="K122:K123"/>
    <mergeCell ref="B121:K121"/>
    <mergeCell ref="B108:C108"/>
    <mergeCell ref="E102:F102"/>
    <mergeCell ref="B103:C103"/>
    <mergeCell ref="E103:F103"/>
    <mergeCell ref="D100:F100"/>
    <mergeCell ref="D122:F122"/>
    <mergeCell ref="B106:C106"/>
    <mergeCell ref="B107:C107"/>
    <mergeCell ref="B88:C88"/>
    <mergeCell ref="E80:F80"/>
    <mergeCell ref="B81:C81"/>
    <mergeCell ref="E81:F81"/>
    <mergeCell ref="E59:F59"/>
    <mergeCell ref="B11:K11"/>
    <mergeCell ref="D15:F15"/>
    <mergeCell ref="D34:F34"/>
    <mergeCell ref="B1:K1"/>
    <mergeCell ref="E18:F18"/>
    <mergeCell ref="E22:F22"/>
    <mergeCell ref="B22:C22"/>
    <mergeCell ref="B18:C18"/>
    <mergeCell ref="B7:C7"/>
    <mergeCell ref="K5:K6"/>
    <mergeCell ref="H5:J5"/>
    <mergeCell ref="E17:F17"/>
    <mergeCell ref="B14:K14"/>
    <mergeCell ref="B15:C16"/>
    <mergeCell ref="G15:G16"/>
    <mergeCell ref="H15:J15"/>
    <mergeCell ref="K15:K16"/>
    <mergeCell ref="B4:K4"/>
    <mergeCell ref="B5:C6"/>
    <mergeCell ref="D5:F5"/>
    <mergeCell ref="B23:C23"/>
    <mergeCell ref="B25:C25"/>
    <mergeCell ref="B24:C24"/>
    <mergeCell ref="B21:C21"/>
    <mergeCell ref="B66:C66"/>
    <mergeCell ref="B82:C82"/>
    <mergeCell ref="B83:C83"/>
    <mergeCell ref="B84:C84"/>
    <mergeCell ref="B85:C85"/>
    <mergeCell ref="E85:F85"/>
    <mergeCell ref="B86:C86"/>
    <mergeCell ref="B87:C87"/>
    <mergeCell ref="E63:F63"/>
    <mergeCell ref="B64:C64"/>
    <mergeCell ref="B65:C65"/>
    <mergeCell ref="B77:K77"/>
    <mergeCell ref="B78:C79"/>
    <mergeCell ref="D78:F78"/>
    <mergeCell ref="G78:G79"/>
    <mergeCell ref="H78:J78"/>
    <mergeCell ref="K78:K79"/>
  </mergeCells>
  <phoneticPr fontId="8" type="noConversion"/>
  <printOptions horizontalCentered="1"/>
  <pageMargins left="0.59055118110236227" right="0.59055118110236227" top="0.78740157480314965" bottom="0.78740157480314965" header="0.19685039370078741" footer="0.19685039370078741"/>
  <pageSetup paperSize="9" scale="94" orientation="landscape" r:id="rId1"/>
  <rowBreaks count="2" manualBreakCount="2">
    <brk id="10" max="11" man="1"/>
    <brk id="3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view="pageBreakPreview" zoomScale="85" zoomScaleSheetLayoutView="85" workbookViewId="0">
      <selection activeCell="M20" sqref="M20"/>
    </sheetView>
  </sheetViews>
  <sheetFormatPr defaultColWidth="9" defaultRowHeight="16.5"/>
  <cols>
    <col min="1" max="1" width="7.75" style="5" customWidth="1"/>
    <col min="2" max="2" width="18.75" style="5" customWidth="1"/>
    <col min="3" max="3" width="15.125" style="5" customWidth="1"/>
    <col min="4" max="4" width="10.125" style="5" bestFit="1" customWidth="1"/>
    <col min="5" max="5" width="9" style="5" bestFit="1" customWidth="1"/>
    <col min="6" max="6" width="11.875" style="5" customWidth="1"/>
    <col min="7" max="7" width="9" style="5" customWidth="1"/>
    <col min="8" max="8" width="5.25" style="5" bestFit="1" customWidth="1"/>
    <col min="9" max="9" width="7.125" style="5" bestFit="1" customWidth="1"/>
    <col min="10" max="16384" width="9" style="5"/>
  </cols>
  <sheetData>
    <row r="1" spans="1:9" ht="22.5" customHeight="1">
      <c r="A1" s="569" t="s">
        <v>533</v>
      </c>
      <c r="B1" s="569"/>
      <c r="C1" s="569"/>
      <c r="D1" s="569"/>
      <c r="E1" s="569"/>
      <c r="F1" s="569"/>
      <c r="G1" s="569"/>
      <c r="H1" s="569"/>
      <c r="I1" s="569"/>
    </row>
    <row r="2" spans="1:9" ht="22.5" customHeight="1">
      <c r="A2" s="7"/>
      <c r="B2" s="7"/>
      <c r="C2" s="7"/>
      <c r="D2" s="7"/>
      <c r="E2" s="7"/>
      <c r="F2" s="7"/>
      <c r="G2" s="7"/>
      <c r="H2" s="7"/>
      <c r="I2" s="7"/>
    </row>
    <row r="3" spans="1:9" s="124" customFormat="1" ht="22.5" customHeight="1">
      <c r="A3" s="123" t="s">
        <v>534</v>
      </c>
      <c r="C3" s="123" t="str">
        <f>'가.해당분야 경력'!E3</f>
        <v>홍길일</v>
      </c>
    </row>
    <row r="4" spans="1:9" s="10" customFormat="1" ht="22.5" customHeight="1" thickBot="1">
      <c r="A4" s="31" t="s">
        <v>438</v>
      </c>
      <c r="B4" s="31"/>
      <c r="C4" s="31"/>
      <c r="D4" s="31"/>
      <c r="E4" s="31"/>
      <c r="F4" s="31"/>
      <c r="G4" s="31"/>
      <c r="H4" s="31"/>
      <c r="I4" s="31"/>
    </row>
    <row r="5" spans="1:9" ht="22.5" customHeight="1">
      <c r="A5" s="671" t="s">
        <v>46</v>
      </c>
      <c r="B5" s="672"/>
      <c r="C5" s="672" t="s">
        <v>329</v>
      </c>
      <c r="D5" s="158" t="s">
        <v>47</v>
      </c>
      <c r="E5" s="674" t="s">
        <v>320</v>
      </c>
      <c r="F5" s="675" t="s">
        <v>48</v>
      </c>
      <c r="G5" s="675"/>
      <c r="H5" s="675"/>
      <c r="I5" s="665" t="s">
        <v>49</v>
      </c>
    </row>
    <row r="6" spans="1:9" ht="22.5" customHeight="1" thickBot="1">
      <c r="A6" s="673"/>
      <c r="B6" s="648"/>
      <c r="C6" s="575"/>
      <c r="D6" s="154" t="s">
        <v>50</v>
      </c>
      <c r="E6" s="651"/>
      <c r="F6" s="682" t="s">
        <v>51</v>
      </c>
      <c r="G6" s="683"/>
      <c r="H6" s="154" t="s">
        <v>52</v>
      </c>
      <c r="I6" s="666"/>
    </row>
    <row r="7" spans="1:9" ht="22.5" customHeight="1" thickBot="1">
      <c r="A7" s="203" t="s">
        <v>279</v>
      </c>
      <c r="B7" s="196" t="s">
        <v>276</v>
      </c>
      <c r="C7" s="204" t="s">
        <v>273</v>
      </c>
      <c r="D7" s="205">
        <f>SUM(D8:D15)</f>
        <v>12054</v>
      </c>
      <c r="E7" s="206" t="s">
        <v>273</v>
      </c>
      <c r="F7" s="206" t="s">
        <v>273</v>
      </c>
      <c r="G7" s="206" t="s">
        <v>273</v>
      </c>
      <c r="H7" s="206" t="s">
        <v>273</v>
      </c>
      <c r="I7" s="207" t="s">
        <v>273</v>
      </c>
    </row>
    <row r="8" spans="1:9" ht="22.5" customHeight="1">
      <c r="A8" s="667" t="s">
        <v>501</v>
      </c>
      <c r="B8" s="668"/>
      <c r="C8" s="385" t="s">
        <v>7</v>
      </c>
      <c r="D8" s="385">
        <v>5479</v>
      </c>
      <c r="E8" s="400" t="s">
        <v>19</v>
      </c>
      <c r="F8" s="678" t="s">
        <v>265</v>
      </c>
      <c r="G8" s="679"/>
      <c r="H8" s="402" t="s">
        <v>266</v>
      </c>
      <c r="I8" s="298" t="s">
        <v>267</v>
      </c>
    </row>
    <row r="9" spans="1:9" ht="22.5" customHeight="1">
      <c r="A9" s="669" t="s">
        <v>402</v>
      </c>
      <c r="B9" s="670"/>
      <c r="C9" s="386" t="s">
        <v>6</v>
      </c>
      <c r="D9" s="386">
        <v>6575</v>
      </c>
      <c r="E9" s="401" t="s">
        <v>19</v>
      </c>
      <c r="F9" s="680" t="s">
        <v>265</v>
      </c>
      <c r="G9" s="681"/>
      <c r="H9" s="399" t="s">
        <v>266</v>
      </c>
      <c r="I9" s="297" t="s">
        <v>267</v>
      </c>
    </row>
    <row r="10" spans="1:9" ht="22.5" customHeight="1">
      <c r="A10" s="661"/>
      <c r="B10" s="662"/>
      <c r="C10" s="197"/>
      <c r="D10" s="197"/>
      <c r="E10" s="198"/>
      <c r="F10" s="198"/>
      <c r="G10" s="198"/>
      <c r="H10" s="198"/>
      <c r="I10" s="199"/>
    </row>
    <row r="11" spans="1:9" ht="22.5" customHeight="1">
      <c r="A11" s="661"/>
      <c r="B11" s="662"/>
      <c r="C11" s="197"/>
      <c r="D11" s="197"/>
      <c r="E11" s="198"/>
      <c r="F11" s="198"/>
      <c r="G11" s="198"/>
      <c r="H11" s="198"/>
      <c r="I11" s="199"/>
    </row>
    <row r="12" spans="1:9" ht="22.5" customHeight="1">
      <c r="A12" s="661"/>
      <c r="B12" s="662"/>
      <c r="C12" s="197"/>
      <c r="D12" s="197"/>
      <c r="E12" s="198"/>
      <c r="F12" s="198"/>
      <c r="G12" s="198"/>
      <c r="H12" s="198"/>
      <c r="I12" s="199"/>
    </row>
    <row r="13" spans="1:9" ht="22.5" customHeight="1">
      <c r="A13" s="661"/>
      <c r="B13" s="662"/>
      <c r="C13" s="197"/>
      <c r="D13" s="197"/>
      <c r="E13" s="198"/>
      <c r="F13" s="198"/>
      <c r="G13" s="198"/>
      <c r="H13" s="198"/>
      <c r="I13" s="199"/>
    </row>
    <row r="14" spans="1:9" ht="22.5" customHeight="1">
      <c r="A14" s="661"/>
      <c r="B14" s="662"/>
      <c r="C14" s="197"/>
      <c r="D14" s="197"/>
      <c r="E14" s="198"/>
      <c r="F14" s="198"/>
      <c r="G14" s="198"/>
      <c r="H14" s="198"/>
      <c r="I14" s="199"/>
    </row>
    <row r="15" spans="1:9" ht="22.5" customHeight="1" thickBot="1">
      <c r="A15" s="663"/>
      <c r="B15" s="664"/>
      <c r="C15" s="200"/>
      <c r="D15" s="200"/>
      <c r="E15" s="201"/>
      <c r="F15" s="201"/>
      <c r="G15" s="201"/>
      <c r="H15" s="201"/>
      <c r="I15" s="202"/>
    </row>
    <row r="16" spans="1:9" s="10" customFormat="1" ht="22.5" customHeight="1" thickBot="1">
      <c r="A16" s="31" t="s">
        <v>439</v>
      </c>
      <c r="B16" s="31"/>
      <c r="C16" s="31"/>
      <c r="D16" s="31"/>
      <c r="E16" s="31"/>
      <c r="F16" s="31"/>
      <c r="G16" s="31"/>
      <c r="H16" s="31"/>
      <c r="I16" s="31"/>
    </row>
    <row r="17" spans="1:9" ht="22.5" customHeight="1">
      <c r="A17" s="671" t="s">
        <v>46</v>
      </c>
      <c r="B17" s="672"/>
      <c r="C17" s="672" t="s">
        <v>330</v>
      </c>
      <c r="D17" s="158" t="s">
        <v>47</v>
      </c>
      <c r="E17" s="674" t="s">
        <v>320</v>
      </c>
      <c r="F17" s="675" t="s">
        <v>48</v>
      </c>
      <c r="G17" s="675"/>
      <c r="H17" s="675"/>
      <c r="I17" s="665" t="s">
        <v>49</v>
      </c>
    </row>
    <row r="18" spans="1:9" ht="22.5" customHeight="1" thickBot="1">
      <c r="A18" s="673"/>
      <c r="B18" s="648"/>
      <c r="C18" s="575"/>
      <c r="D18" s="154" t="s">
        <v>50</v>
      </c>
      <c r="E18" s="651"/>
      <c r="F18" s="154" t="s">
        <v>51</v>
      </c>
      <c r="G18" s="383" t="s">
        <v>322</v>
      </c>
      <c r="H18" s="154" t="s">
        <v>52</v>
      </c>
      <c r="I18" s="666"/>
    </row>
    <row r="19" spans="1:9" ht="22.5" customHeight="1" thickBot="1">
      <c r="A19" s="203" t="s">
        <v>279</v>
      </c>
      <c r="B19" s="196" t="s">
        <v>276</v>
      </c>
      <c r="C19" s="204" t="s">
        <v>273</v>
      </c>
      <c r="D19" s="205">
        <f>SUM(D20:D27)</f>
        <v>12054</v>
      </c>
      <c r="E19" s="206" t="s">
        <v>273</v>
      </c>
      <c r="F19" s="206" t="s">
        <v>273</v>
      </c>
      <c r="G19" s="206" t="s">
        <v>273</v>
      </c>
      <c r="H19" s="206" t="s">
        <v>273</v>
      </c>
      <c r="I19" s="207" t="s">
        <v>273</v>
      </c>
    </row>
    <row r="20" spans="1:9" ht="22.5" customHeight="1">
      <c r="A20" s="667" t="s">
        <v>501</v>
      </c>
      <c r="B20" s="668"/>
      <c r="C20" s="385" t="s">
        <v>7</v>
      </c>
      <c r="D20" s="385">
        <v>5479</v>
      </c>
      <c r="E20" s="400" t="s">
        <v>345</v>
      </c>
      <c r="F20" s="402" t="s">
        <v>105</v>
      </c>
      <c r="G20" s="402" t="s">
        <v>346</v>
      </c>
      <c r="H20" s="402" t="s">
        <v>266</v>
      </c>
      <c r="I20" s="298" t="s">
        <v>76</v>
      </c>
    </row>
    <row r="21" spans="1:9" ht="22.5" customHeight="1">
      <c r="A21" s="669" t="s">
        <v>402</v>
      </c>
      <c r="B21" s="670"/>
      <c r="C21" s="386" t="s">
        <v>6</v>
      </c>
      <c r="D21" s="386">
        <v>6575</v>
      </c>
      <c r="E21" s="401" t="s">
        <v>348</v>
      </c>
      <c r="F21" s="399" t="s">
        <v>105</v>
      </c>
      <c r="G21" s="399" t="s">
        <v>347</v>
      </c>
      <c r="H21" s="399" t="s">
        <v>266</v>
      </c>
      <c r="I21" s="297" t="s">
        <v>76</v>
      </c>
    </row>
    <row r="22" spans="1:9" ht="22.5" customHeight="1">
      <c r="A22" s="661"/>
      <c r="B22" s="662"/>
      <c r="C22" s="197"/>
      <c r="D22" s="197"/>
      <c r="E22" s="198"/>
      <c r="F22" s="198"/>
      <c r="G22" s="198"/>
      <c r="H22" s="198"/>
      <c r="I22" s="199"/>
    </row>
    <row r="23" spans="1:9" ht="22.5" customHeight="1">
      <c r="A23" s="661"/>
      <c r="B23" s="662"/>
      <c r="C23" s="197"/>
      <c r="D23" s="197"/>
      <c r="E23" s="198"/>
      <c r="F23" s="198"/>
      <c r="G23" s="198"/>
      <c r="H23" s="198"/>
      <c r="I23" s="199"/>
    </row>
    <row r="24" spans="1:9" ht="22.5" customHeight="1">
      <c r="A24" s="661"/>
      <c r="B24" s="662"/>
      <c r="C24" s="197"/>
      <c r="D24" s="197"/>
      <c r="E24" s="198"/>
      <c r="F24" s="198"/>
      <c r="G24" s="198"/>
      <c r="H24" s="198"/>
      <c r="I24" s="199"/>
    </row>
    <row r="25" spans="1:9" ht="22.5" customHeight="1">
      <c r="A25" s="661"/>
      <c r="B25" s="662"/>
      <c r="C25" s="197"/>
      <c r="D25" s="197"/>
      <c r="E25" s="198"/>
      <c r="F25" s="198"/>
      <c r="G25" s="198"/>
      <c r="H25" s="198"/>
      <c r="I25" s="199"/>
    </row>
    <row r="26" spans="1:9" ht="22.5" customHeight="1">
      <c r="A26" s="661"/>
      <c r="B26" s="662"/>
      <c r="C26" s="197"/>
      <c r="D26" s="197"/>
      <c r="E26" s="198"/>
      <c r="F26" s="198"/>
      <c r="G26" s="198"/>
      <c r="H26" s="198"/>
      <c r="I26" s="199"/>
    </row>
    <row r="27" spans="1:9" ht="22.5" customHeight="1" thickBot="1">
      <c r="A27" s="663"/>
      <c r="B27" s="664"/>
      <c r="C27" s="200"/>
      <c r="D27" s="200"/>
      <c r="E27" s="201"/>
      <c r="F27" s="201"/>
      <c r="G27" s="201"/>
      <c r="H27" s="201"/>
      <c r="I27" s="202"/>
    </row>
    <row r="28" spans="1:9" ht="22.5" customHeight="1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22.5" customHeight="1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22.5" customHeight="1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22.5" customHeight="1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22.5" customHeight="1">
      <c r="A32" s="30"/>
      <c r="B32" s="30"/>
      <c r="C32" s="30"/>
      <c r="D32" s="30"/>
      <c r="E32" s="30"/>
      <c r="F32" s="30"/>
      <c r="G32" s="30"/>
      <c r="H32" s="30"/>
      <c r="I32" s="30"/>
    </row>
    <row r="33" spans="1:9" s="124" customFormat="1" ht="22.5" customHeight="1">
      <c r="A33" s="123" t="s">
        <v>535</v>
      </c>
      <c r="C33" s="123" t="str">
        <f>'가.해당분야 경력'!E32</f>
        <v>홍길이</v>
      </c>
    </row>
    <row r="34" spans="1:9" s="10" customFormat="1" ht="22.5" customHeight="1" thickBot="1">
      <c r="A34" s="31" t="s">
        <v>438</v>
      </c>
      <c r="B34" s="31"/>
      <c r="C34" s="31"/>
      <c r="D34" s="31"/>
      <c r="E34" s="31"/>
      <c r="F34" s="31"/>
      <c r="G34" s="31"/>
      <c r="H34" s="31"/>
      <c r="I34" s="31"/>
    </row>
    <row r="35" spans="1:9" ht="22.5" customHeight="1">
      <c r="A35" s="671" t="s">
        <v>46</v>
      </c>
      <c r="B35" s="672"/>
      <c r="C35" s="672" t="s">
        <v>331</v>
      </c>
      <c r="D35" s="158" t="s">
        <v>47</v>
      </c>
      <c r="E35" s="674" t="s">
        <v>320</v>
      </c>
      <c r="F35" s="675" t="s">
        <v>48</v>
      </c>
      <c r="G35" s="675"/>
      <c r="H35" s="675"/>
      <c r="I35" s="665" t="s">
        <v>49</v>
      </c>
    </row>
    <row r="36" spans="1:9" ht="22.5" customHeight="1" thickBot="1">
      <c r="A36" s="673"/>
      <c r="B36" s="648"/>
      <c r="C36" s="575"/>
      <c r="D36" s="154" t="s">
        <v>50</v>
      </c>
      <c r="E36" s="651"/>
      <c r="F36" s="398" t="s">
        <v>51</v>
      </c>
      <c r="G36" s="398" t="s">
        <v>322</v>
      </c>
      <c r="H36" s="398" t="s">
        <v>52</v>
      </c>
      <c r="I36" s="666"/>
    </row>
    <row r="37" spans="1:9" ht="22.5" customHeight="1" thickBot="1">
      <c r="A37" s="203" t="s">
        <v>279</v>
      </c>
      <c r="B37" s="196" t="s">
        <v>276</v>
      </c>
      <c r="C37" s="204" t="s">
        <v>273</v>
      </c>
      <c r="D37" s="205">
        <f>SUM(D38:D45)</f>
        <v>12054</v>
      </c>
      <c r="E37" s="206" t="s">
        <v>273</v>
      </c>
      <c r="F37" s="676" t="s">
        <v>273</v>
      </c>
      <c r="G37" s="677"/>
      <c r="H37" s="206" t="s">
        <v>273</v>
      </c>
      <c r="I37" s="207" t="s">
        <v>273</v>
      </c>
    </row>
    <row r="38" spans="1:9" ht="22.5" customHeight="1">
      <c r="A38" s="667" t="s">
        <v>501</v>
      </c>
      <c r="B38" s="668"/>
      <c r="C38" s="395" t="s">
        <v>7</v>
      </c>
      <c r="D38" s="395">
        <v>5479</v>
      </c>
      <c r="E38" s="400" t="s">
        <v>19</v>
      </c>
      <c r="F38" s="678" t="s">
        <v>265</v>
      </c>
      <c r="G38" s="679"/>
      <c r="H38" s="402" t="s">
        <v>266</v>
      </c>
      <c r="I38" s="298" t="s">
        <v>267</v>
      </c>
    </row>
    <row r="39" spans="1:9" ht="22.5" customHeight="1">
      <c r="A39" s="669" t="s">
        <v>402</v>
      </c>
      <c r="B39" s="670"/>
      <c r="C39" s="396" t="s">
        <v>6</v>
      </c>
      <c r="D39" s="396">
        <v>6575</v>
      </c>
      <c r="E39" s="401" t="s">
        <v>19</v>
      </c>
      <c r="F39" s="680" t="s">
        <v>265</v>
      </c>
      <c r="G39" s="681"/>
      <c r="H39" s="399" t="s">
        <v>266</v>
      </c>
      <c r="I39" s="297" t="s">
        <v>267</v>
      </c>
    </row>
    <row r="40" spans="1:9" ht="22.5" customHeight="1">
      <c r="A40" s="661"/>
      <c r="B40" s="662"/>
      <c r="C40" s="197"/>
      <c r="D40" s="197"/>
      <c r="E40" s="198"/>
      <c r="F40" s="198"/>
      <c r="G40" s="198"/>
      <c r="H40" s="198"/>
      <c r="I40" s="199"/>
    </row>
    <row r="41" spans="1:9" ht="22.5" customHeight="1">
      <c r="A41" s="661"/>
      <c r="B41" s="662"/>
      <c r="C41" s="197"/>
      <c r="D41" s="197"/>
      <c r="E41" s="198"/>
      <c r="F41" s="198"/>
      <c r="G41" s="198"/>
      <c r="H41" s="198"/>
      <c r="I41" s="199"/>
    </row>
    <row r="42" spans="1:9" ht="22.5" customHeight="1">
      <c r="A42" s="661"/>
      <c r="B42" s="662"/>
      <c r="C42" s="197"/>
      <c r="D42" s="197"/>
      <c r="E42" s="198"/>
      <c r="F42" s="198"/>
      <c r="G42" s="198"/>
      <c r="H42" s="198"/>
      <c r="I42" s="199"/>
    </row>
    <row r="43" spans="1:9" ht="22.5" customHeight="1">
      <c r="A43" s="661"/>
      <c r="B43" s="662"/>
      <c r="C43" s="197"/>
      <c r="D43" s="197"/>
      <c r="E43" s="198"/>
      <c r="F43" s="198"/>
      <c r="G43" s="198"/>
      <c r="H43" s="198"/>
      <c r="I43" s="199"/>
    </row>
    <row r="44" spans="1:9" ht="22.5" customHeight="1">
      <c r="A44" s="661"/>
      <c r="B44" s="662"/>
      <c r="C44" s="197"/>
      <c r="D44" s="197"/>
      <c r="E44" s="198"/>
      <c r="F44" s="198"/>
      <c r="G44" s="198"/>
      <c r="H44" s="198"/>
      <c r="I44" s="199"/>
    </row>
    <row r="45" spans="1:9" ht="22.5" customHeight="1" thickBot="1">
      <c r="A45" s="663"/>
      <c r="B45" s="664"/>
      <c r="C45" s="200"/>
      <c r="D45" s="200"/>
      <c r="E45" s="201"/>
      <c r="F45" s="201"/>
      <c r="G45" s="201"/>
      <c r="H45" s="201"/>
      <c r="I45" s="202"/>
    </row>
    <row r="46" spans="1:9" s="10" customFormat="1" ht="22.5" customHeight="1" thickBot="1">
      <c r="A46" s="31" t="s">
        <v>439</v>
      </c>
      <c r="B46" s="31"/>
      <c r="C46" s="31"/>
      <c r="D46" s="31"/>
      <c r="E46" s="31"/>
      <c r="F46" s="31"/>
      <c r="G46" s="31"/>
      <c r="H46" s="31"/>
      <c r="I46" s="31"/>
    </row>
    <row r="47" spans="1:9" ht="22.5" customHeight="1">
      <c r="A47" s="671" t="s">
        <v>46</v>
      </c>
      <c r="B47" s="672"/>
      <c r="C47" s="672" t="s">
        <v>330</v>
      </c>
      <c r="D47" s="158" t="s">
        <v>47</v>
      </c>
      <c r="E47" s="674" t="s">
        <v>320</v>
      </c>
      <c r="F47" s="675" t="s">
        <v>48</v>
      </c>
      <c r="G47" s="675"/>
      <c r="H47" s="675"/>
      <c r="I47" s="665" t="s">
        <v>49</v>
      </c>
    </row>
    <row r="48" spans="1:9" ht="22.5" customHeight="1" thickBot="1">
      <c r="A48" s="673"/>
      <c r="B48" s="648"/>
      <c r="C48" s="575"/>
      <c r="D48" s="154" t="s">
        <v>50</v>
      </c>
      <c r="E48" s="651"/>
      <c r="F48" s="154" t="s">
        <v>51</v>
      </c>
      <c r="G48" s="383" t="s">
        <v>322</v>
      </c>
      <c r="H48" s="154" t="s">
        <v>52</v>
      </c>
      <c r="I48" s="666"/>
    </row>
    <row r="49" spans="1:9" ht="22.5" customHeight="1" thickBot="1">
      <c r="A49" s="203" t="s">
        <v>279</v>
      </c>
      <c r="B49" s="196" t="s">
        <v>276</v>
      </c>
      <c r="C49" s="204" t="s">
        <v>273</v>
      </c>
      <c r="D49" s="205">
        <f>SUM(D50:D57)</f>
        <v>12054</v>
      </c>
      <c r="E49" s="206" t="s">
        <v>273</v>
      </c>
      <c r="F49" s="206" t="s">
        <v>273</v>
      </c>
      <c r="G49" s="206" t="s">
        <v>273</v>
      </c>
      <c r="H49" s="206" t="s">
        <v>273</v>
      </c>
      <c r="I49" s="207" t="s">
        <v>273</v>
      </c>
    </row>
    <row r="50" spans="1:9" ht="22.5" customHeight="1">
      <c r="A50" s="667" t="s">
        <v>501</v>
      </c>
      <c r="B50" s="668"/>
      <c r="C50" s="395" t="s">
        <v>7</v>
      </c>
      <c r="D50" s="395">
        <v>5479</v>
      </c>
      <c r="E50" s="400" t="s">
        <v>345</v>
      </c>
      <c r="F50" s="402" t="s">
        <v>105</v>
      </c>
      <c r="G50" s="402" t="s">
        <v>346</v>
      </c>
      <c r="H50" s="402" t="s">
        <v>266</v>
      </c>
      <c r="I50" s="298" t="s">
        <v>76</v>
      </c>
    </row>
    <row r="51" spans="1:9" ht="22.5" customHeight="1">
      <c r="A51" s="669" t="s">
        <v>402</v>
      </c>
      <c r="B51" s="670"/>
      <c r="C51" s="396" t="s">
        <v>6</v>
      </c>
      <c r="D51" s="396">
        <v>6575</v>
      </c>
      <c r="E51" s="401" t="s">
        <v>348</v>
      </c>
      <c r="F51" s="399" t="s">
        <v>105</v>
      </c>
      <c r="G51" s="399" t="s">
        <v>347</v>
      </c>
      <c r="H51" s="399" t="s">
        <v>266</v>
      </c>
      <c r="I51" s="297" t="s">
        <v>76</v>
      </c>
    </row>
    <row r="52" spans="1:9" ht="22.5" customHeight="1">
      <c r="A52" s="661"/>
      <c r="B52" s="662"/>
      <c r="C52" s="197"/>
      <c r="D52" s="197"/>
      <c r="E52" s="198"/>
      <c r="F52" s="198"/>
      <c r="G52" s="198"/>
      <c r="H52" s="198"/>
      <c r="I52" s="199"/>
    </row>
    <row r="53" spans="1:9" ht="22.5" customHeight="1">
      <c r="A53" s="661"/>
      <c r="B53" s="662"/>
      <c r="C53" s="197"/>
      <c r="D53" s="197"/>
      <c r="E53" s="198"/>
      <c r="F53" s="198"/>
      <c r="G53" s="198"/>
      <c r="H53" s="198"/>
      <c r="I53" s="199"/>
    </row>
    <row r="54" spans="1:9" ht="22.5" customHeight="1">
      <c r="A54" s="661"/>
      <c r="B54" s="662"/>
      <c r="C54" s="197"/>
      <c r="D54" s="197"/>
      <c r="E54" s="198"/>
      <c r="F54" s="198"/>
      <c r="G54" s="198"/>
      <c r="H54" s="198"/>
      <c r="I54" s="199"/>
    </row>
    <row r="55" spans="1:9" ht="22.5" customHeight="1">
      <c r="A55" s="661"/>
      <c r="B55" s="662"/>
      <c r="C55" s="197"/>
      <c r="D55" s="197"/>
      <c r="E55" s="198"/>
      <c r="F55" s="198"/>
      <c r="G55" s="198"/>
      <c r="H55" s="198"/>
      <c r="I55" s="199"/>
    </row>
    <row r="56" spans="1:9" ht="22.5" customHeight="1">
      <c r="A56" s="661"/>
      <c r="B56" s="662"/>
      <c r="C56" s="197"/>
      <c r="D56" s="197"/>
      <c r="E56" s="198"/>
      <c r="F56" s="198"/>
      <c r="G56" s="198"/>
      <c r="H56" s="198"/>
      <c r="I56" s="199"/>
    </row>
    <row r="57" spans="1:9" ht="22.5" customHeight="1" thickBot="1">
      <c r="A57" s="663"/>
      <c r="B57" s="664"/>
      <c r="C57" s="200"/>
      <c r="D57" s="200"/>
      <c r="E57" s="201"/>
      <c r="F57" s="201"/>
      <c r="G57" s="201"/>
      <c r="H57" s="201"/>
      <c r="I57" s="202"/>
    </row>
    <row r="58" spans="1:9" ht="22.5" customHeight="1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22.5" customHeight="1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22.5" customHeight="1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22.5" customHeight="1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22.5" customHeight="1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22.5" customHeight="1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22.5" customHeight="1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22.5" customHeight="1">
      <c r="A65" s="123" t="s">
        <v>535</v>
      </c>
      <c r="B65" s="124"/>
      <c r="C65" s="123" t="str">
        <f>'가.해당분야 경력'!E54</f>
        <v>홍길삼</v>
      </c>
      <c r="D65" s="124"/>
      <c r="E65" s="124"/>
      <c r="F65" s="124"/>
      <c r="G65" s="124"/>
      <c r="H65" s="124"/>
      <c r="I65" s="124"/>
    </row>
    <row r="66" spans="1:9" ht="22.5" customHeight="1" thickBot="1">
      <c r="A66" s="31" t="s">
        <v>438</v>
      </c>
      <c r="B66" s="31"/>
      <c r="C66" s="31"/>
      <c r="D66" s="31"/>
      <c r="E66" s="31"/>
      <c r="F66" s="31"/>
      <c r="G66" s="31"/>
      <c r="H66" s="31"/>
      <c r="I66" s="31"/>
    </row>
    <row r="67" spans="1:9" ht="22.5" customHeight="1">
      <c r="A67" s="671" t="s">
        <v>46</v>
      </c>
      <c r="B67" s="672"/>
      <c r="C67" s="672" t="s">
        <v>331</v>
      </c>
      <c r="D67" s="443" t="s">
        <v>47</v>
      </c>
      <c r="E67" s="674" t="s">
        <v>320</v>
      </c>
      <c r="F67" s="675" t="s">
        <v>48</v>
      </c>
      <c r="G67" s="675"/>
      <c r="H67" s="675"/>
      <c r="I67" s="665" t="s">
        <v>49</v>
      </c>
    </row>
    <row r="68" spans="1:9" ht="22.5" customHeight="1" thickBot="1">
      <c r="A68" s="673"/>
      <c r="B68" s="648"/>
      <c r="C68" s="575"/>
      <c r="D68" s="440" t="s">
        <v>50</v>
      </c>
      <c r="E68" s="651"/>
      <c r="F68" s="440" t="s">
        <v>51</v>
      </c>
      <c r="G68" s="440" t="s">
        <v>322</v>
      </c>
      <c r="H68" s="440" t="s">
        <v>52</v>
      </c>
      <c r="I68" s="666"/>
    </row>
    <row r="69" spans="1:9" ht="22.5" customHeight="1" thickBot="1">
      <c r="A69" s="203" t="s">
        <v>279</v>
      </c>
      <c r="B69" s="196" t="s">
        <v>276</v>
      </c>
      <c r="C69" s="204" t="s">
        <v>273</v>
      </c>
      <c r="D69" s="205">
        <f>SUM(D70:D77)</f>
        <v>12054</v>
      </c>
      <c r="E69" s="206" t="s">
        <v>273</v>
      </c>
      <c r="F69" s="676" t="s">
        <v>273</v>
      </c>
      <c r="G69" s="677"/>
      <c r="H69" s="206" t="s">
        <v>273</v>
      </c>
      <c r="I69" s="207" t="s">
        <v>273</v>
      </c>
    </row>
    <row r="70" spans="1:9" ht="22.5" customHeight="1">
      <c r="A70" s="667" t="s">
        <v>501</v>
      </c>
      <c r="B70" s="668"/>
      <c r="C70" s="448" t="s">
        <v>7</v>
      </c>
      <c r="D70" s="448">
        <v>5479</v>
      </c>
      <c r="E70" s="400" t="s">
        <v>19</v>
      </c>
      <c r="F70" s="678" t="s">
        <v>264</v>
      </c>
      <c r="G70" s="679"/>
      <c r="H70" s="402" t="s">
        <v>266</v>
      </c>
      <c r="I70" s="298" t="s">
        <v>252</v>
      </c>
    </row>
    <row r="71" spans="1:9" ht="22.5" customHeight="1">
      <c r="A71" s="669" t="s">
        <v>402</v>
      </c>
      <c r="B71" s="670"/>
      <c r="C71" s="449" t="s">
        <v>6</v>
      </c>
      <c r="D71" s="449">
        <v>6575</v>
      </c>
      <c r="E71" s="401" t="s">
        <v>19</v>
      </c>
      <c r="F71" s="680" t="s">
        <v>264</v>
      </c>
      <c r="G71" s="681"/>
      <c r="H71" s="399" t="s">
        <v>266</v>
      </c>
      <c r="I71" s="297" t="s">
        <v>252</v>
      </c>
    </row>
    <row r="72" spans="1:9" ht="22.5" customHeight="1">
      <c r="A72" s="661"/>
      <c r="B72" s="662"/>
      <c r="C72" s="197"/>
      <c r="D72" s="197"/>
      <c r="E72" s="198"/>
      <c r="F72" s="198"/>
      <c r="G72" s="198"/>
      <c r="H72" s="198"/>
      <c r="I72" s="199"/>
    </row>
    <row r="73" spans="1:9" ht="22.5" customHeight="1">
      <c r="A73" s="661"/>
      <c r="B73" s="662"/>
      <c r="C73" s="197"/>
      <c r="D73" s="197"/>
      <c r="E73" s="198"/>
      <c r="F73" s="198"/>
      <c r="G73" s="198"/>
      <c r="H73" s="198"/>
      <c r="I73" s="199"/>
    </row>
    <row r="74" spans="1:9" ht="22.5" customHeight="1">
      <c r="A74" s="661"/>
      <c r="B74" s="662"/>
      <c r="C74" s="197"/>
      <c r="D74" s="197"/>
      <c r="E74" s="198"/>
      <c r="F74" s="198"/>
      <c r="G74" s="198"/>
      <c r="H74" s="198"/>
      <c r="I74" s="199"/>
    </row>
    <row r="75" spans="1:9" ht="22.5" customHeight="1">
      <c r="A75" s="661"/>
      <c r="B75" s="662"/>
      <c r="C75" s="197"/>
      <c r="D75" s="197"/>
      <c r="E75" s="198"/>
      <c r="F75" s="198"/>
      <c r="G75" s="198"/>
      <c r="H75" s="198"/>
      <c r="I75" s="199"/>
    </row>
    <row r="76" spans="1:9" ht="22.5" customHeight="1">
      <c r="A76" s="661"/>
      <c r="B76" s="662"/>
      <c r="C76" s="197"/>
      <c r="D76" s="197"/>
      <c r="E76" s="198"/>
      <c r="F76" s="198"/>
      <c r="G76" s="198"/>
      <c r="H76" s="198"/>
      <c r="I76" s="199"/>
    </row>
    <row r="77" spans="1:9" ht="22.5" customHeight="1" thickBot="1">
      <c r="A77" s="663"/>
      <c r="B77" s="664"/>
      <c r="C77" s="200"/>
      <c r="D77" s="200"/>
      <c r="E77" s="201"/>
      <c r="F77" s="201"/>
      <c r="G77" s="201"/>
      <c r="H77" s="201"/>
      <c r="I77" s="202"/>
    </row>
    <row r="78" spans="1:9" ht="22.5" customHeight="1" thickBot="1">
      <c r="A78" s="31" t="s">
        <v>439</v>
      </c>
      <c r="B78" s="31"/>
      <c r="C78" s="31"/>
      <c r="D78" s="31"/>
      <c r="E78" s="31"/>
      <c r="F78" s="31"/>
      <c r="G78" s="31"/>
      <c r="H78" s="31"/>
      <c r="I78" s="31"/>
    </row>
    <row r="79" spans="1:9" ht="22.5" customHeight="1">
      <c r="A79" s="671" t="s">
        <v>46</v>
      </c>
      <c r="B79" s="672"/>
      <c r="C79" s="672" t="s">
        <v>329</v>
      </c>
      <c r="D79" s="443" t="s">
        <v>47</v>
      </c>
      <c r="E79" s="674" t="s">
        <v>320</v>
      </c>
      <c r="F79" s="675" t="s">
        <v>48</v>
      </c>
      <c r="G79" s="675"/>
      <c r="H79" s="675"/>
      <c r="I79" s="665" t="s">
        <v>49</v>
      </c>
    </row>
    <row r="80" spans="1:9" ht="22.5" customHeight="1" thickBot="1">
      <c r="A80" s="673"/>
      <c r="B80" s="648"/>
      <c r="C80" s="575"/>
      <c r="D80" s="440" t="s">
        <v>50</v>
      </c>
      <c r="E80" s="651"/>
      <c r="F80" s="440" t="s">
        <v>51</v>
      </c>
      <c r="G80" s="440" t="s">
        <v>322</v>
      </c>
      <c r="H80" s="440" t="s">
        <v>52</v>
      </c>
      <c r="I80" s="666"/>
    </row>
    <row r="81" spans="1:9" ht="22.5" customHeight="1" thickBot="1">
      <c r="A81" s="203" t="s">
        <v>279</v>
      </c>
      <c r="B81" s="196" t="s">
        <v>276</v>
      </c>
      <c r="C81" s="204" t="s">
        <v>273</v>
      </c>
      <c r="D81" s="205">
        <f>SUM(D82:D89)</f>
        <v>12054</v>
      </c>
      <c r="E81" s="206" t="s">
        <v>273</v>
      </c>
      <c r="F81" s="206" t="s">
        <v>273</v>
      </c>
      <c r="G81" s="206" t="s">
        <v>273</v>
      </c>
      <c r="H81" s="206" t="s">
        <v>273</v>
      </c>
      <c r="I81" s="207" t="s">
        <v>273</v>
      </c>
    </row>
    <row r="82" spans="1:9" ht="22.5" customHeight="1">
      <c r="A82" s="667" t="s">
        <v>500</v>
      </c>
      <c r="B82" s="668"/>
      <c r="C82" s="448" t="s">
        <v>7</v>
      </c>
      <c r="D82" s="448">
        <v>5479</v>
      </c>
      <c r="E82" s="400" t="s">
        <v>345</v>
      </c>
      <c r="F82" s="402" t="s">
        <v>105</v>
      </c>
      <c r="G82" s="402" t="s">
        <v>346</v>
      </c>
      <c r="H82" s="402" t="s">
        <v>266</v>
      </c>
      <c r="I82" s="298" t="s">
        <v>76</v>
      </c>
    </row>
    <row r="83" spans="1:9" ht="22.5" customHeight="1">
      <c r="A83" s="669" t="s">
        <v>402</v>
      </c>
      <c r="B83" s="670"/>
      <c r="C83" s="449" t="s">
        <v>6</v>
      </c>
      <c r="D83" s="449">
        <v>6575</v>
      </c>
      <c r="E83" s="401" t="s">
        <v>348</v>
      </c>
      <c r="F83" s="399" t="s">
        <v>105</v>
      </c>
      <c r="G83" s="399" t="s">
        <v>347</v>
      </c>
      <c r="H83" s="399" t="s">
        <v>266</v>
      </c>
      <c r="I83" s="297" t="s">
        <v>76</v>
      </c>
    </row>
    <row r="84" spans="1:9" ht="22.5" customHeight="1">
      <c r="A84" s="661"/>
      <c r="B84" s="662"/>
      <c r="C84" s="197"/>
      <c r="D84" s="197"/>
      <c r="E84" s="198"/>
      <c r="F84" s="198"/>
      <c r="G84" s="198"/>
      <c r="H84" s="198"/>
      <c r="I84" s="199"/>
    </row>
    <row r="85" spans="1:9" ht="22.5" customHeight="1">
      <c r="A85" s="661"/>
      <c r="B85" s="662"/>
      <c r="C85" s="197"/>
      <c r="D85" s="197"/>
      <c r="E85" s="198"/>
      <c r="F85" s="198"/>
      <c r="G85" s="198"/>
      <c r="H85" s="198"/>
      <c r="I85" s="199"/>
    </row>
    <row r="86" spans="1:9" ht="22.5" customHeight="1">
      <c r="A86" s="661"/>
      <c r="B86" s="662"/>
      <c r="C86" s="197"/>
      <c r="D86" s="197"/>
      <c r="E86" s="198"/>
      <c r="F86" s="198"/>
      <c r="G86" s="198"/>
      <c r="H86" s="198"/>
      <c r="I86" s="199"/>
    </row>
    <row r="87" spans="1:9" ht="22.5" customHeight="1">
      <c r="A87" s="661"/>
      <c r="B87" s="662"/>
      <c r="C87" s="197"/>
      <c r="D87" s="197"/>
      <c r="E87" s="198"/>
      <c r="F87" s="198"/>
      <c r="G87" s="198"/>
      <c r="H87" s="198"/>
      <c r="I87" s="199"/>
    </row>
    <row r="88" spans="1:9" ht="22.5" customHeight="1">
      <c r="A88" s="661"/>
      <c r="B88" s="662"/>
      <c r="C88" s="197"/>
      <c r="D88" s="197"/>
      <c r="E88" s="198"/>
      <c r="F88" s="198"/>
      <c r="G88" s="198"/>
      <c r="H88" s="198"/>
      <c r="I88" s="199"/>
    </row>
    <row r="89" spans="1:9" ht="22.5" customHeight="1" thickBot="1">
      <c r="A89" s="663"/>
      <c r="B89" s="664"/>
      <c r="C89" s="200"/>
      <c r="D89" s="200"/>
      <c r="E89" s="201"/>
      <c r="F89" s="201"/>
      <c r="G89" s="201"/>
      <c r="H89" s="201"/>
      <c r="I89" s="202"/>
    </row>
    <row r="90" spans="1:9" ht="22.5" customHeight="1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22.5" customHeight="1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22.5" customHeight="1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22.5" customHeight="1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22.5" customHeight="1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22.5" customHeight="1">
      <c r="A95" s="30"/>
      <c r="B95" s="30"/>
      <c r="C95" s="30"/>
      <c r="D95" s="30"/>
      <c r="E95" s="30"/>
      <c r="F95" s="30"/>
      <c r="G95" s="30"/>
      <c r="H95" s="30"/>
      <c r="I95" s="30"/>
    </row>
    <row r="96" spans="1:9" ht="22.5" customHeight="1">
      <c r="A96" s="30"/>
      <c r="B96" s="30"/>
      <c r="C96" s="30"/>
      <c r="D96" s="30"/>
      <c r="E96" s="30"/>
      <c r="F96" s="30"/>
      <c r="G96" s="30"/>
      <c r="H96" s="30"/>
      <c r="I96" s="30"/>
    </row>
    <row r="97" spans="1:9" ht="22.5" customHeight="1">
      <c r="A97" s="123" t="s">
        <v>535</v>
      </c>
      <c r="B97" s="124"/>
      <c r="C97" s="123" t="str">
        <f>'가.해당분야 경력'!E76</f>
        <v>홍길사</v>
      </c>
      <c r="D97" s="124"/>
      <c r="E97" s="124"/>
      <c r="F97" s="124"/>
      <c r="G97" s="124"/>
      <c r="H97" s="124"/>
      <c r="I97" s="124"/>
    </row>
    <row r="98" spans="1:9" ht="22.5" customHeight="1" thickBot="1">
      <c r="A98" s="31" t="s">
        <v>438</v>
      </c>
      <c r="B98" s="31"/>
      <c r="C98" s="31"/>
      <c r="D98" s="31"/>
      <c r="E98" s="31"/>
      <c r="F98" s="31"/>
      <c r="G98" s="31"/>
      <c r="H98" s="31"/>
      <c r="I98" s="31"/>
    </row>
    <row r="99" spans="1:9" ht="22.5" customHeight="1">
      <c r="A99" s="671" t="s">
        <v>46</v>
      </c>
      <c r="B99" s="672"/>
      <c r="C99" s="672" t="s">
        <v>331</v>
      </c>
      <c r="D99" s="443" t="s">
        <v>47</v>
      </c>
      <c r="E99" s="674" t="s">
        <v>320</v>
      </c>
      <c r="F99" s="675" t="s">
        <v>48</v>
      </c>
      <c r="G99" s="675"/>
      <c r="H99" s="675"/>
      <c r="I99" s="665" t="s">
        <v>49</v>
      </c>
    </row>
    <row r="100" spans="1:9" ht="22.5" customHeight="1" thickBot="1">
      <c r="A100" s="673"/>
      <c r="B100" s="648"/>
      <c r="C100" s="575"/>
      <c r="D100" s="440" t="s">
        <v>50</v>
      </c>
      <c r="E100" s="651"/>
      <c r="F100" s="440" t="s">
        <v>51</v>
      </c>
      <c r="G100" s="440" t="s">
        <v>322</v>
      </c>
      <c r="H100" s="440" t="s">
        <v>52</v>
      </c>
      <c r="I100" s="666"/>
    </row>
    <row r="101" spans="1:9" ht="22.5" customHeight="1" thickBot="1">
      <c r="A101" s="203" t="s">
        <v>279</v>
      </c>
      <c r="B101" s="196" t="s">
        <v>276</v>
      </c>
      <c r="C101" s="204" t="s">
        <v>273</v>
      </c>
      <c r="D101" s="205">
        <f>SUM(D102:D109)</f>
        <v>12054</v>
      </c>
      <c r="E101" s="206" t="s">
        <v>273</v>
      </c>
      <c r="F101" s="676" t="s">
        <v>273</v>
      </c>
      <c r="G101" s="677"/>
      <c r="H101" s="206" t="s">
        <v>273</v>
      </c>
      <c r="I101" s="207" t="s">
        <v>273</v>
      </c>
    </row>
    <row r="102" spans="1:9" ht="22.5" customHeight="1">
      <c r="A102" s="667" t="s">
        <v>500</v>
      </c>
      <c r="B102" s="668"/>
      <c r="C102" s="448" t="s">
        <v>7</v>
      </c>
      <c r="D102" s="448">
        <v>5479</v>
      </c>
      <c r="E102" s="400" t="s">
        <v>19</v>
      </c>
      <c r="F102" s="678" t="s">
        <v>264</v>
      </c>
      <c r="G102" s="679"/>
      <c r="H102" s="402" t="s">
        <v>266</v>
      </c>
      <c r="I102" s="298" t="s">
        <v>252</v>
      </c>
    </row>
    <row r="103" spans="1:9" ht="22.5" customHeight="1">
      <c r="A103" s="669" t="s">
        <v>402</v>
      </c>
      <c r="B103" s="670"/>
      <c r="C103" s="449" t="s">
        <v>6</v>
      </c>
      <c r="D103" s="449">
        <v>6575</v>
      </c>
      <c r="E103" s="401" t="s">
        <v>19</v>
      </c>
      <c r="F103" s="680" t="s">
        <v>264</v>
      </c>
      <c r="G103" s="681"/>
      <c r="H103" s="399" t="s">
        <v>266</v>
      </c>
      <c r="I103" s="297" t="s">
        <v>252</v>
      </c>
    </row>
    <row r="104" spans="1:9" ht="22.5" customHeight="1">
      <c r="A104" s="661"/>
      <c r="B104" s="662"/>
      <c r="C104" s="197"/>
      <c r="D104" s="197"/>
      <c r="E104" s="198"/>
      <c r="F104" s="198"/>
      <c r="G104" s="198"/>
      <c r="H104" s="198"/>
      <c r="I104" s="199"/>
    </row>
    <row r="105" spans="1:9" ht="22.5" customHeight="1">
      <c r="A105" s="661"/>
      <c r="B105" s="662"/>
      <c r="C105" s="197"/>
      <c r="D105" s="197"/>
      <c r="E105" s="198"/>
      <c r="F105" s="198"/>
      <c r="G105" s="198"/>
      <c r="H105" s="198"/>
      <c r="I105" s="199"/>
    </row>
    <row r="106" spans="1:9" ht="22.5" customHeight="1">
      <c r="A106" s="661"/>
      <c r="B106" s="662"/>
      <c r="C106" s="197"/>
      <c r="D106" s="197"/>
      <c r="E106" s="198"/>
      <c r="F106" s="198"/>
      <c r="G106" s="198"/>
      <c r="H106" s="198"/>
      <c r="I106" s="199"/>
    </row>
    <row r="107" spans="1:9" ht="22.5" customHeight="1">
      <c r="A107" s="661"/>
      <c r="B107" s="662"/>
      <c r="C107" s="197"/>
      <c r="D107" s="197"/>
      <c r="E107" s="198"/>
      <c r="F107" s="198"/>
      <c r="G107" s="198"/>
      <c r="H107" s="198"/>
      <c r="I107" s="199"/>
    </row>
    <row r="108" spans="1:9" ht="22.5" customHeight="1">
      <c r="A108" s="661"/>
      <c r="B108" s="662"/>
      <c r="C108" s="197"/>
      <c r="D108" s="197"/>
      <c r="E108" s="198"/>
      <c r="F108" s="198"/>
      <c r="G108" s="198"/>
      <c r="H108" s="198"/>
      <c r="I108" s="199"/>
    </row>
    <row r="109" spans="1:9" ht="22.5" customHeight="1" thickBot="1">
      <c r="A109" s="663"/>
      <c r="B109" s="664"/>
      <c r="C109" s="200"/>
      <c r="D109" s="200"/>
      <c r="E109" s="201"/>
      <c r="F109" s="201"/>
      <c r="G109" s="201"/>
      <c r="H109" s="201"/>
      <c r="I109" s="202"/>
    </row>
    <row r="110" spans="1:9" ht="22.5" customHeight="1" thickBot="1">
      <c r="A110" s="31" t="s">
        <v>439</v>
      </c>
      <c r="B110" s="31"/>
      <c r="C110" s="31"/>
      <c r="D110" s="31"/>
      <c r="E110" s="31"/>
      <c r="F110" s="31"/>
      <c r="G110" s="31"/>
      <c r="H110" s="31"/>
      <c r="I110" s="31"/>
    </row>
    <row r="111" spans="1:9" ht="22.5" customHeight="1">
      <c r="A111" s="671" t="s">
        <v>46</v>
      </c>
      <c r="B111" s="672"/>
      <c r="C111" s="672" t="s">
        <v>329</v>
      </c>
      <c r="D111" s="443" t="s">
        <v>47</v>
      </c>
      <c r="E111" s="674" t="s">
        <v>320</v>
      </c>
      <c r="F111" s="675" t="s">
        <v>48</v>
      </c>
      <c r="G111" s="675"/>
      <c r="H111" s="675"/>
      <c r="I111" s="665" t="s">
        <v>49</v>
      </c>
    </row>
    <row r="112" spans="1:9" ht="22.5" customHeight="1" thickBot="1">
      <c r="A112" s="673"/>
      <c r="B112" s="648"/>
      <c r="C112" s="575"/>
      <c r="D112" s="440" t="s">
        <v>50</v>
      </c>
      <c r="E112" s="651"/>
      <c r="F112" s="440" t="s">
        <v>51</v>
      </c>
      <c r="G112" s="440" t="s">
        <v>322</v>
      </c>
      <c r="H112" s="440" t="s">
        <v>52</v>
      </c>
      <c r="I112" s="666"/>
    </row>
    <row r="113" spans="1:9" ht="22.5" customHeight="1" thickBot="1">
      <c r="A113" s="203" t="s">
        <v>279</v>
      </c>
      <c r="B113" s="196" t="s">
        <v>276</v>
      </c>
      <c r="C113" s="204" t="s">
        <v>273</v>
      </c>
      <c r="D113" s="205">
        <f>SUM(D114:D121)</f>
        <v>12054</v>
      </c>
      <c r="E113" s="206" t="s">
        <v>273</v>
      </c>
      <c r="F113" s="206" t="s">
        <v>273</v>
      </c>
      <c r="G113" s="206" t="s">
        <v>273</v>
      </c>
      <c r="H113" s="206" t="s">
        <v>273</v>
      </c>
      <c r="I113" s="207" t="s">
        <v>273</v>
      </c>
    </row>
    <row r="114" spans="1:9" ht="22.5" customHeight="1">
      <c r="A114" s="667" t="s">
        <v>500</v>
      </c>
      <c r="B114" s="668"/>
      <c r="C114" s="448" t="s">
        <v>7</v>
      </c>
      <c r="D114" s="448">
        <v>5479</v>
      </c>
      <c r="E114" s="400" t="s">
        <v>345</v>
      </c>
      <c r="F114" s="402" t="s">
        <v>105</v>
      </c>
      <c r="G114" s="402" t="s">
        <v>346</v>
      </c>
      <c r="H114" s="402" t="s">
        <v>266</v>
      </c>
      <c r="I114" s="298" t="s">
        <v>76</v>
      </c>
    </row>
    <row r="115" spans="1:9" ht="22.5" customHeight="1">
      <c r="A115" s="669" t="s">
        <v>402</v>
      </c>
      <c r="B115" s="670"/>
      <c r="C115" s="449" t="s">
        <v>6</v>
      </c>
      <c r="D115" s="449">
        <v>6575</v>
      </c>
      <c r="E115" s="401" t="s">
        <v>348</v>
      </c>
      <c r="F115" s="399" t="s">
        <v>105</v>
      </c>
      <c r="G115" s="399" t="s">
        <v>347</v>
      </c>
      <c r="H115" s="399" t="s">
        <v>266</v>
      </c>
      <c r="I115" s="297" t="s">
        <v>76</v>
      </c>
    </row>
    <row r="116" spans="1:9" ht="22.5" customHeight="1">
      <c r="A116" s="661"/>
      <c r="B116" s="662"/>
      <c r="C116" s="197"/>
      <c r="D116" s="197"/>
      <c r="E116" s="198"/>
      <c r="F116" s="198"/>
      <c r="G116" s="198"/>
      <c r="H116" s="198"/>
      <c r="I116" s="199"/>
    </row>
    <row r="117" spans="1:9" ht="22.5" customHeight="1">
      <c r="A117" s="661"/>
      <c r="B117" s="662"/>
      <c r="C117" s="197"/>
      <c r="D117" s="197"/>
      <c r="E117" s="198"/>
      <c r="F117" s="198"/>
      <c r="G117" s="198"/>
      <c r="H117" s="198"/>
      <c r="I117" s="199"/>
    </row>
    <row r="118" spans="1:9" ht="22.5" customHeight="1">
      <c r="A118" s="661"/>
      <c r="B118" s="662"/>
      <c r="C118" s="197"/>
      <c r="D118" s="197"/>
      <c r="E118" s="198"/>
      <c r="F118" s="198"/>
      <c r="G118" s="198"/>
      <c r="H118" s="198"/>
      <c r="I118" s="199"/>
    </row>
    <row r="119" spans="1:9" ht="22.5" customHeight="1">
      <c r="A119" s="661"/>
      <c r="B119" s="662"/>
      <c r="C119" s="197"/>
      <c r="D119" s="197"/>
      <c r="E119" s="198"/>
      <c r="F119" s="198"/>
      <c r="G119" s="198"/>
      <c r="H119" s="198"/>
      <c r="I119" s="199"/>
    </row>
    <row r="120" spans="1:9" ht="22.5" customHeight="1">
      <c r="A120" s="661"/>
      <c r="B120" s="662"/>
      <c r="C120" s="197"/>
      <c r="D120" s="197"/>
      <c r="E120" s="198"/>
      <c r="F120" s="198"/>
      <c r="G120" s="198"/>
      <c r="H120" s="198"/>
      <c r="I120" s="199"/>
    </row>
    <row r="121" spans="1:9" ht="22.5" customHeight="1" thickBot="1">
      <c r="A121" s="663"/>
      <c r="B121" s="664"/>
      <c r="C121" s="200"/>
      <c r="D121" s="200"/>
      <c r="E121" s="201"/>
      <c r="F121" s="201"/>
      <c r="G121" s="201"/>
      <c r="H121" s="201"/>
      <c r="I121" s="202"/>
    </row>
    <row r="122" spans="1:9" ht="22.5" customHeight="1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22.5" customHeight="1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22.5" customHeight="1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22.5" customHeight="1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22.5" customHeight="1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22.5" customHeight="1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>
      <c r="A128" s="30"/>
      <c r="B128" s="30"/>
      <c r="C128" s="30"/>
      <c r="D128" s="30"/>
      <c r="E128" s="30"/>
      <c r="F128" s="30"/>
      <c r="G128" s="30"/>
      <c r="H128" s="30"/>
      <c r="I128" s="30"/>
    </row>
  </sheetData>
  <mergeCells count="117">
    <mergeCell ref="I35:I36"/>
    <mergeCell ref="A35:B36"/>
    <mergeCell ref="A26:B26"/>
    <mergeCell ref="A27:B27"/>
    <mergeCell ref="A40:B40"/>
    <mergeCell ref="A41:B41"/>
    <mergeCell ref="A42:B42"/>
    <mergeCell ref="A43:B43"/>
    <mergeCell ref="A51:B51"/>
    <mergeCell ref="A38:B38"/>
    <mergeCell ref="A39:B39"/>
    <mergeCell ref="I47:I48"/>
    <mergeCell ref="A47:B48"/>
    <mergeCell ref="C47:C48"/>
    <mergeCell ref="E47:E48"/>
    <mergeCell ref="F47:H47"/>
    <mergeCell ref="A44:B44"/>
    <mergeCell ref="A45:B45"/>
    <mergeCell ref="F38:G38"/>
    <mergeCell ref="F39:G39"/>
    <mergeCell ref="F37:G37"/>
    <mergeCell ref="C35:C36"/>
    <mergeCell ref="E35:E36"/>
    <mergeCell ref="F35:H35"/>
    <mergeCell ref="A1:I1"/>
    <mergeCell ref="A20:B20"/>
    <mergeCell ref="A8:B8"/>
    <mergeCell ref="A9:B9"/>
    <mergeCell ref="A21:B21"/>
    <mergeCell ref="A17:B18"/>
    <mergeCell ref="A5:B6"/>
    <mergeCell ref="E5:E6"/>
    <mergeCell ref="F5:H5"/>
    <mergeCell ref="I5:I6"/>
    <mergeCell ref="C5:C6"/>
    <mergeCell ref="A10:B10"/>
    <mergeCell ref="A11:B11"/>
    <mergeCell ref="A12:B12"/>
    <mergeCell ref="A13:B13"/>
    <mergeCell ref="A14:B14"/>
    <mergeCell ref="C17:C18"/>
    <mergeCell ref="E17:E18"/>
    <mergeCell ref="F17:H17"/>
    <mergeCell ref="I17:I18"/>
    <mergeCell ref="F6:G6"/>
    <mergeCell ref="F8:G8"/>
    <mergeCell ref="F9:G9"/>
    <mergeCell ref="A57:B57"/>
    <mergeCell ref="A52:B52"/>
    <mergeCell ref="A53:B53"/>
    <mergeCell ref="A54:B54"/>
    <mergeCell ref="A55:B55"/>
    <mergeCell ref="A56:B56"/>
    <mergeCell ref="A15:B15"/>
    <mergeCell ref="A22:B22"/>
    <mergeCell ref="A23:B23"/>
    <mergeCell ref="A24:B24"/>
    <mergeCell ref="A25:B25"/>
    <mergeCell ref="A50:B50"/>
    <mergeCell ref="C67:C68"/>
    <mergeCell ref="E67:E68"/>
    <mergeCell ref="F67:H67"/>
    <mergeCell ref="I67:I68"/>
    <mergeCell ref="F69:G69"/>
    <mergeCell ref="A82:B82"/>
    <mergeCell ref="A67:B68"/>
    <mergeCell ref="A71:B71"/>
    <mergeCell ref="A72:B72"/>
    <mergeCell ref="A73:B73"/>
    <mergeCell ref="A74:B74"/>
    <mergeCell ref="A79:B80"/>
    <mergeCell ref="A75:B75"/>
    <mergeCell ref="A76:B76"/>
    <mergeCell ref="A77:B77"/>
    <mergeCell ref="A70:B70"/>
    <mergeCell ref="F70:G70"/>
    <mergeCell ref="F71:G71"/>
    <mergeCell ref="A84:B84"/>
    <mergeCell ref="A85:B85"/>
    <mergeCell ref="A86:B86"/>
    <mergeCell ref="A87:B87"/>
    <mergeCell ref="A88:B88"/>
    <mergeCell ref="C79:C80"/>
    <mergeCell ref="E79:E80"/>
    <mergeCell ref="F79:H79"/>
    <mergeCell ref="I79:I80"/>
    <mergeCell ref="A83:B83"/>
    <mergeCell ref="I99:I100"/>
    <mergeCell ref="F101:G101"/>
    <mergeCell ref="A102:B102"/>
    <mergeCell ref="F102:G102"/>
    <mergeCell ref="A103:B103"/>
    <mergeCell ref="F103:G103"/>
    <mergeCell ref="A89:B89"/>
    <mergeCell ref="A99:B100"/>
    <mergeCell ref="C99:C100"/>
    <mergeCell ref="E99:E100"/>
    <mergeCell ref="F99:H99"/>
    <mergeCell ref="A109:B109"/>
    <mergeCell ref="A111:B112"/>
    <mergeCell ref="C111:C112"/>
    <mergeCell ref="E111:E112"/>
    <mergeCell ref="F111:H111"/>
    <mergeCell ref="A104:B104"/>
    <mergeCell ref="A105:B105"/>
    <mergeCell ref="A106:B106"/>
    <mergeCell ref="A107:B107"/>
    <mergeCell ref="A108:B108"/>
    <mergeCell ref="A118:B118"/>
    <mergeCell ref="A119:B119"/>
    <mergeCell ref="A120:B120"/>
    <mergeCell ref="A121:B121"/>
    <mergeCell ref="I111:I112"/>
    <mergeCell ref="A114:B114"/>
    <mergeCell ref="A115:B115"/>
    <mergeCell ref="A116:B116"/>
    <mergeCell ref="A117:B117"/>
  </mergeCells>
  <phoneticPr fontId="8" type="noConversion"/>
  <printOptions horizontalCentered="1"/>
  <pageMargins left="0.59055118110236227" right="0.59055118110236227" top="0.78740157480314965" bottom="0.78740157480314965" header="0.19685039370078741" footer="0.19685039370078741"/>
  <pageSetup paperSize="9" scale="87" orientation="portrait" r:id="rId1"/>
  <rowBreaks count="3" manualBreakCount="3">
    <brk id="32" max="8" man="1"/>
    <brk id="64" max="8" man="1"/>
    <brk id="9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view="pageBreakPreview" zoomScale="85" zoomScaleSheetLayoutView="85" workbookViewId="0">
      <selection activeCell="E12" sqref="E12"/>
    </sheetView>
  </sheetViews>
  <sheetFormatPr defaultColWidth="9" defaultRowHeight="16.5"/>
  <cols>
    <col min="1" max="1" width="1.25" style="5" customWidth="1"/>
    <col min="2" max="2" width="10.875" style="5" customWidth="1"/>
    <col min="3" max="3" width="9.875" style="5" customWidth="1"/>
    <col min="4" max="4" width="6.375" style="5" bestFit="1" customWidth="1"/>
    <col min="5" max="5" width="15.125" style="5" customWidth="1"/>
    <col min="6" max="6" width="13.125" style="5" bestFit="1" customWidth="1"/>
    <col min="7" max="7" width="18.125" style="5" bestFit="1" customWidth="1"/>
    <col min="8" max="8" width="12.875" style="5" customWidth="1"/>
    <col min="9" max="9" width="9.375" style="5" customWidth="1"/>
    <col min="10" max="10" width="1.25" style="5" customWidth="1"/>
    <col min="11" max="11" width="9" style="5"/>
    <col min="12" max="13" width="12.125" style="5" customWidth="1"/>
    <col min="14" max="16384" width="9" style="5"/>
  </cols>
  <sheetData>
    <row r="1" spans="2:11" ht="22.5" customHeight="1">
      <c r="B1" s="569" t="s">
        <v>543</v>
      </c>
      <c r="C1" s="569"/>
      <c r="D1" s="569"/>
      <c r="E1" s="569"/>
      <c r="F1" s="569"/>
      <c r="G1" s="569"/>
      <c r="H1" s="569"/>
      <c r="I1" s="569"/>
    </row>
    <row r="2" spans="2:11" ht="22.5" customHeight="1">
      <c r="B2" s="8"/>
      <c r="C2" s="8"/>
      <c r="D2" s="8"/>
      <c r="E2" s="8"/>
      <c r="F2" s="8"/>
      <c r="G2" s="8"/>
      <c r="H2" s="8"/>
      <c r="I2" s="8"/>
    </row>
    <row r="3" spans="2:11" s="30" customFormat="1" ht="22.5" customHeight="1" thickBot="1">
      <c r="B3" s="31" t="s">
        <v>53</v>
      </c>
    </row>
    <row r="4" spans="2:11" s="30" customFormat="1" ht="22.5" customHeight="1" thickBot="1">
      <c r="B4" s="689" t="s">
        <v>33</v>
      </c>
      <c r="C4" s="690"/>
      <c r="D4" s="214" t="s">
        <v>35</v>
      </c>
      <c r="E4" s="215" t="s">
        <v>54</v>
      </c>
      <c r="F4" s="215" t="s">
        <v>55</v>
      </c>
      <c r="G4" s="215" t="s">
        <v>56</v>
      </c>
      <c r="H4" s="406" t="s">
        <v>349</v>
      </c>
      <c r="I4" s="71" t="s">
        <v>43</v>
      </c>
    </row>
    <row r="5" spans="2:11" s="30" customFormat="1" ht="30" customHeight="1">
      <c r="B5" s="628" t="s">
        <v>509</v>
      </c>
      <c r="C5" s="684" t="s">
        <v>413</v>
      </c>
      <c r="D5" s="633" t="str">
        <f>참여기술인명단!D5</f>
        <v>홍길일</v>
      </c>
      <c r="E5" s="189" t="s">
        <v>354</v>
      </c>
      <c r="F5" s="189" t="s">
        <v>57</v>
      </c>
      <c r="G5" s="450" t="s">
        <v>58</v>
      </c>
      <c r="H5" s="691">
        <v>2</v>
      </c>
      <c r="I5" s="686" t="str">
        <f>IF(H5&gt;=2,"0.5",IF(H5=0,"0",IF(H5&lt;2,"0.3")))</f>
        <v>0.5</v>
      </c>
      <c r="K5" s="30">
        <v>0</v>
      </c>
    </row>
    <row r="6" spans="2:11" s="30" customFormat="1" ht="30" customHeight="1" thickBot="1">
      <c r="B6" s="629"/>
      <c r="C6" s="684"/>
      <c r="D6" s="687"/>
      <c r="E6" s="179" t="s">
        <v>355</v>
      </c>
      <c r="F6" s="179" t="s">
        <v>57</v>
      </c>
      <c r="G6" s="453" t="s">
        <v>408</v>
      </c>
      <c r="H6" s="688"/>
      <c r="I6" s="686"/>
      <c r="K6" s="30">
        <v>1</v>
      </c>
    </row>
    <row r="7" spans="2:11" s="30" customFormat="1" ht="17.25" thickBot="1">
      <c r="B7" s="629"/>
      <c r="C7" s="83"/>
      <c r="D7" s="484"/>
      <c r="E7" s="482"/>
      <c r="F7" s="482"/>
      <c r="G7" s="483"/>
      <c r="H7" s="485"/>
      <c r="I7" s="487">
        <f>I5/1</f>
        <v>0.5</v>
      </c>
    </row>
    <row r="8" spans="2:11" s="30" customFormat="1" ht="30" customHeight="1">
      <c r="B8" s="629" t="s">
        <v>511</v>
      </c>
      <c r="C8" s="684" t="s">
        <v>414</v>
      </c>
      <c r="D8" s="633" t="str">
        <f>참여기술인명단!D6</f>
        <v>홍길이</v>
      </c>
      <c r="E8" s="189" t="s">
        <v>416</v>
      </c>
      <c r="F8" s="189" t="s">
        <v>417</v>
      </c>
      <c r="G8" s="450" t="s">
        <v>418</v>
      </c>
      <c r="H8" s="691">
        <v>2</v>
      </c>
      <c r="I8" s="686" t="str">
        <f>IF(H8&gt;=2,"1.0",IF(H8=0,"0",IF(H8&lt;2,"0.5")))</f>
        <v>1.0</v>
      </c>
      <c r="K8" s="30">
        <v>2</v>
      </c>
    </row>
    <row r="9" spans="2:11" s="30" customFormat="1" ht="30" customHeight="1">
      <c r="B9" s="629"/>
      <c r="C9" s="684"/>
      <c r="D9" s="635"/>
      <c r="E9" s="170" t="s">
        <v>419</v>
      </c>
      <c r="F9" s="170" t="s">
        <v>417</v>
      </c>
      <c r="G9" s="447" t="s">
        <v>420</v>
      </c>
      <c r="H9" s="685"/>
      <c r="I9" s="686"/>
    </row>
    <row r="10" spans="2:11" s="30" customFormat="1" ht="30" customHeight="1">
      <c r="B10" s="629"/>
      <c r="C10" s="684" t="s">
        <v>440</v>
      </c>
      <c r="D10" s="635" t="str">
        <f>참여기술인명단!D7</f>
        <v>홍길삼</v>
      </c>
      <c r="E10" s="170" t="s">
        <v>416</v>
      </c>
      <c r="F10" s="170" t="s">
        <v>417</v>
      </c>
      <c r="G10" s="447" t="s">
        <v>418</v>
      </c>
      <c r="H10" s="685">
        <v>2</v>
      </c>
      <c r="I10" s="686" t="str">
        <f>IF(H10&gt;=2,"1.0",IF(H10=0,"0",IF(H10&lt;2,"0.5")))</f>
        <v>1.0</v>
      </c>
      <c r="K10" s="30">
        <v>2</v>
      </c>
    </row>
    <row r="11" spans="2:11" s="30" customFormat="1" ht="30" customHeight="1">
      <c r="B11" s="629"/>
      <c r="C11" s="684"/>
      <c r="D11" s="635"/>
      <c r="E11" s="170" t="s">
        <v>419</v>
      </c>
      <c r="F11" s="170" t="s">
        <v>417</v>
      </c>
      <c r="G11" s="447" t="s">
        <v>420</v>
      </c>
      <c r="H11" s="685"/>
      <c r="I11" s="686"/>
    </row>
    <row r="12" spans="2:11" s="30" customFormat="1" ht="30" customHeight="1">
      <c r="B12" s="629"/>
      <c r="C12" s="684" t="s">
        <v>415</v>
      </c>
      <c r="D12" s="635" t="str">
        <f>참여기술인명단!D8</f>
        <v>홍길사</v>
      </c>
      <c r="E12" s="170" t="s">
        <v>416</v>
      </c>
      <c r="F12" s="170" t="s">
        <v>417</v>
      </c>
      <c r="G12" s="447" t="s">
        <v>418</v>
      </c>
      <c r="H12" s="685">
        <v>2</v>
      </c>
      <c r="I12" s="686" t="str">
        <f>IF(H12&gt;=2,"1.0",IF(H12=0,"0",IF(H12&lt;2,"0.5")))</f>
        <v>1.0</v>
      </c>
      <c r="K12" s="30">
        <v>2</v>
      </c>
    </row>
    <row r="13" spans="2:11" s="30" customFormat="1" ht="30" customHeight="1" thickBot="1">
      <c r="B13" s="629"/>
      <c r="C13" s="684"/>
      <c r="D13" s="687"/>
      <c r="E13" s="179" t="s">
        <v>419</v>
      </c>
      <c r="F13" s="179" t="s">
        <v>417</v>
      </c>
      <c r="G13" s="453" t="s">
        <v>420</v>
      </c>
      <c r="H13" s="688"/>
      <c r="I13" s="686"/>
    </row>
    <row r="14" spans="2:11" s="30" customFormat="1" ht="17.25" thickBot="1">
      <c r="B14" s="630"/>
      <c r="C14" s="83"/>
      <c r="D14" s="484"/>
      <c r="E14" s="482"/>
      <c r="F14" s="482"/>
      <c r="G14" s="483"/>
      <c r="H14" s="485"/>
      <c r="I14" s="220">
        <f>ROUND((I8+I10+I12)/3,2)</f>
        <v>1</v>
      </c>
    </row>
    <row r="15" spans="2:11" s="30" customFormat="1" ht="30" customHeight="1">
      <c r="B15" s="625" t="s">
        <v>536</v>
      </c>
      <c r="C15" s="684" t="s">
        <v>409</v>
      </c>
      <c r="D15" s="633" t="str">
        <f>참여기술인명단!D9</f>
        <v>홍길오</v>
      </c>
      <c r="E15" s="189" t="s">
        <v>354</v>
      </c>
      <c r="F15" s="189" t="s">
        <v>57</v>
      </c>
      <c r="G15" s="450" t="s">
        <v>58</v>
      </c>
      <c r="H15" s="691">
        <v>2</v>
      </c>
      <c r="I15" s="692" t="str">
        <f>IF(H15&gt;=2,"0.5",IF(H15=0,"0",IF(H15&lt;2,"0.3")))</f>
        <v>0.5</v>
      </c>
    </row>
    <row r="16" spans="2:11" s="30" customFormat="1" ht="30" customHeight="1">
      <c r="B16" s="625"/>
      <c r="C16" s="684"/>
      <c r="D16" s="635"/>
      <c r="E16" s="170" t="s">
        <v>356</v>
      </c>
      <c r="F16" s="170" t="s">
        <v>57</v>
      </c>
      <c r="G16" s="447" t="s">
        <v>408</v>
      </c>
      <c r="H16" s="685"/>
      <c r="I16" s="692"/>
    </row>
    <row r="17" spans="2:13" s="30" customFormat="1" ht="30" customHeight="1">
      <c r="B17" s="625"/>
      <c r="C17" s="684" t="s">
        <v>440</v>
      </c>
      <c r="D17" s="635" t="str">
        <f>참여기술인명단!D10</f>
        <v>홍길육</v>
      </c>
      <c r="E17" s="170" t="s">
        <v>357</v>
      </c>
      <c r="F17" s="170" t="s">
        <v>57</v>
      </c>
      <c r="G17" s="447" t="s">
        <v>58</v>
      </c>
      <c r="H17" s="685">
        <v>2</v>
      </c>
      <c r="I17" s="692" t="str">
        <f>IF(H17&gt;=2,"0.5",IF(H17=0,"0",IF(H17&lt;2,"0.3")))</f>
        <v>0.5</v>
      </c>
    </row>
    <row r="18" spans="2:13" s="30" customFormat="1" ht="30" customHeight="1">
      <c r="B18" s="625"/>
      <c r="C18" s="684"/>
      <c r="D18" s="635"/>
      <c r="E18" s="170" t="s">
        <v>356</v>
      </c>
      <c r="F18" s="170" t="s">
        <v>57</v>
      </c>
      <c r="G18" s="447" t="s">
        <v>408</v>
      </c>
      <c r="H18" s="685"/>
      <c r="I18" s="692"/>
    </row>
    <row r="19" spans="2:13" s="30" customFormat="1" ht="17.25" thickBot="1">
      <c r="B19" s="626"/>
      <c r="C19" s="121"/>
      <c r="D19" s="216"/>
      <c r="E19" s="217"/>
      <c r="F19" s="217"/>
      <c r="G19" s="218"/>
      <c r="H19" s="219"/>
      <c r="I19" s="220">
        <f>ROUND((I15+I17)/2,2)</f>
        <v>0.5</v>
      </c>
    </row>
    <row r="20" spans="2:13" ht="22.5" customHeight="1"/>
    <row r="21" spans="2:13" ht="22.5" customHeight="1" thickBot="1">
      <c r="B21" s="5" t="s">
        <v>537</v>
      </c>
    </row>
    <row r="22" spans="2:13" ht="35.25" customHeight="1" thickBot="1">
      <c r="B22" s="689" t="s">
        <v>352</v>
      </c>
      <c r="C22" s="690"/>
      <c r="D22" s="704" t="s">
        <v>353</v>
      </c>
      <c r="E22" s="705"/>
      <c r="F22" s="446" t="s">
        <v>350</v>
      </c>
      <c r="G22" s="72" t="s">
        <v>351</v>
      </c>
      <c r="H22" s="72" t="s">
        <v>13</v>
      </c>
      <c r="I22" s="71" t="s">
        <v>63</v>
      </c>
    </row>
    <row r="23" spans="2:13" ht="27" customHeight="1">
      <c r="B23" s="625" t="s">
        <v>538</v>
      </c>
      <c r="C23" s="684"/>
      <c r="D23" s="698" t="s">
        <v>2</v>
      </c>
      <c r="E23" s="699"/>
      <c r="F23" s="497" t="s">
        <v>411</v>
      </c>
      <c r="G23" s="222" t="s">
        <v>280</v>
      </c>
      <c r="H23" s="436" t="s">
        <v>410</v>
      </c>
      <c r="I23" s="221" t="str">
        <f>IF(D23="기술사","0.5",IF(D23="건축사",0.5,IF(D23="기사","0.3",IF(D23="산업기사","0.1")*0)))</f>
        <v>0.5</v>
      </c>
      <c r="K23" s="5" t="s">
        <v>60</v>
      </c>
      <c r="L23" s="5" t="s">
        <v>539</v>
      </c>
      <c r="M23" s="5" t="s">
        <v>539</v>
      </c>
    </row>
    <row r="24" spans="2:13" ht="27" customHeight="1">
      <c r="B24" s="625" t="s">
        <v>540</v>
      </c>
      <c r="C24" s="684"/>
      <c r="D24" s="700" t="s">
        <v>383</v>
      </c>
      <c r="E24" s="701"/>
      <c r="F24" s="498" t="s">
        <v>412</v>
      </c>
      <c r="G24" s="222" t="s">
        <v>280</v>
      </c>
      <c r="H24" s="436" t="s">
        <v>410</v>
      </c>
      <c r="I24" s="221">
        <f t="shared" ref="I24" si="0">IF(D24="기술사","0.5",IF(D24="건축사",0.5,IF(D24="기사","0.3",IF(D24="산업기사","0.1")*0)))</f>
        <v>0.5</v>
      </c>
      <c r="K24" s="5" t="s">
        <v>61</v>
      </c>
      <c r="L24" s="5" t="s">
        <v>521</v>
      </c>
      <c r="M24" s="5" t="s">
        <v>521</v>
      </c>
    </row>
    <row r="25" spans="2:13" ht="31.5" customHeight="1">
      <c r="B25" s="696" t="s">
        <v>541</v>
      </c>
      <c r="C25" s="697"/>
      <c r="D25" s="702" t="s">
        <v>521</v>
      </c>
      <c r="E25" s="703"/>
      <c r="F25" s="481" t="s">
        <v>384</v>
      </c>
      <c r="G25" s="499" t="str">
        <f>IF(D25="고급기술인","3",IF(D25="중급기술인 이하","2"))</f>
        <v>3</v>
      </c>
      <c r="H25" s="694" t="s">
        <v>378</v>
      </c>
      <c r="I25" s="693">
        <f>ROUND((G25+G26)/2,2)</f>
        <v>3</v>
      </c>
      <c r="K25" s="5" t="s">
        <v>62</v>
      </c>
      <c r="M25" s="5" t="s">
        <v>542</v>
      </c>
    </row>
    <row r="26" spans="2:13" ht="33" customHeight="1">
      <c r="B26" s="696" t="s">
        <v>541</v>
      </c>
      <c r="C26" s="697"/>
      <c r="D26" s="702" t="s">
        <v>521</v>
      </c>
      <c r="E26" s="703"/>
      <c r="F26" s="464" t="s">
        <v>507</v>
      </c>
      <c r="G26" s="500" t="str">
        <f>IF(D26="고급기술인","3",IF(D26="중급기술인 이하","2"))</f>
        <v>3</v>
      </c>
      <c r="H26" s="695"/>
      <c r="I26" s="693"/>
    </row>
    <row r="27" spans="2:13">
      <c r="E27" s="3"/>
      <c r="F27" s="3"/>
    </row>
  </sheetData>
  <mergeCells count="41">
    <mergeCell ref="H17:H18"/>
    <mergeCell ref="D17:D18"/>
    <mergeCell ref="I25:I26"/>
    <mergeCell ref="H25:H26"/>
    <mergeCell ref="B26:C26"/>
    <mergeCell ref="B24:C24"/>
    <mergeCell ref="D23:E23"/>
    <mergeCell ref="D24:E24"/>
    <mergeCell ref="D26:E26"/>
    <mergeCell ref="D25:E25"/>
    <mergeCell ref="B25:C25"/>
    <mergeCell ref="B22:C22"/>
    <mergeCell ref="D22:E22"/>
    <mergeCell ref="B23:C23"/>
    <mergeCell ref="B1:I1"/>
    <mergeCell ref="B4:C4"/>
    <mergeCell ref="H5:H6"/>
    <mergeCell ref="H8:H9"/>
    <mergeCell ref="H15:H16"/>
    <mergeCell ref="C5:C6"/>
    <mergeCell ref="C8:C9"/>
    <mergeCell ref="I5:I6"/>
    <mergeCell ref="I8:I9"/>
    <mergeCell ref="I15:I16"/>
    <mergeCell ref="C15:C16"/>
    <mergeCell ref="D5:D6"/>
    <mergeCell ref="D8:D9"/>
    <mergeCell ref="D15:D16"/>
    <mergeCell ref="B15:B19"/>
    <mergeCell ref="I17:I18"/>
    <mergeCell ref="H10:H11"/>
    <mergeCell ref="I10:I11"/>
    <mergeCell ref="C12:C13"/>
    <mergeCell ref="D12:D13"/>
    <mergeCell ref="H12:H13"/>
    <mergeCell ref="I12:I13"/>
    <mergeCell ref="B8:B14"/>
    <mergeCell ref="B5:B7"/>
    <mergeCell ref="C10:C11"/>
    <mergeCell ref="D10:D11"/>
    <mergeCell ref="C17:C18"/>
  </mergeCells>
  <phoneticPr fontId="8" type="noConversion"/>
  <dataValidations count="3">
    <dataValidation type="list" allowBlank="1" showInputMessage="1" showErrorMessage="1" sqref="D23:E24">
      <formula1>자격증</formula1>
    </dataValidation>
    <dataValidation type="list" operator="equal" allowBlank="1" showInputMessage="1" showErrorMessage="1" sqref="D25:E26">
      <formula1>"고급기술자,중급기술자 이하"</formula1>
    </dataValidation>
    <dataValidation type="list" allowBlank="1" showInputMessage="1" showErrorMessage="1" sqref="H5:H18">
      <formula1>교육</formula1>
    </dataValidation>
  </dataValidations>
  <printOptions horizontalCentered="1"/>
  <pageMargins left="0.59055118110236227" right="0.59055118110236227" top="0.78740157480314965" bottom="0.78740157480314965" header="0.19685039370078741" footer="0.19685039370078741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view="pageBreakPreview" zoomScale="85" zoomScaleSheetLayoutView="85" workbookViewId="0">
      <pane ySplit="1" topLeftCell="A2" activePane="bottomLeft" state="frozen"/>
      <selection pane="bottomLeft" activeCell="F48" sqref="F48"/>
    </sheetView>
  </sheetViews>
  <sheetFormatPr defaultColWidth="9" defaultRowHeight="16.5"/>
  <cols>
    <col min="1" max="1" width="1.25" style="5" customWidth="1"/>
    <col min="2" max="2" width="6.25" style="5" bestFit="1" customWidth="1"/>
    <col min="3" max="3" width="14.875" style="5" customWidth="1"/>
    <col min="4" max="4" width="7.25" style="5" bestFit="1" customWidth="1"/>
    <col min="5" max="6" width="10.25" style="5" customWidth="1"/>
    <col min="7" max="8" width="15.125" style="5" customWidth="1"/>
    <col min="9" max="9" width="13.875" style="5" bestFit="1" customWidth="1"/>
    <col min="10" max="10" width="10.875" style="5" bestFit="1" customWidth="1"/>
    <col min="11" max="11" width="11.875" style="5" customWidth="1"/>
    <col min="12" max="12" width="1.25" style="5" customWidth="1"/>
    <col min="13" max="14" width="10.875" style="5" customWidth="1"/>
    <col min="15" max="16384" width="9" style="5"/>
  </cols>
  <sheetData>
    <row r="1" spans="2:14" ht="22.5" customHeight="1">
      <c r="B1" s="569" t="s">
        <v>281</v>
      </c>
      <c r="C1" s="569"/>
      <c r="D1" s="569"/>
      <c r="E1" s="569"/>
      <c r="F1" s="569"/>
      <c r="G1" s="569"/>
      <c r="H1" s="569"/>
      <c r="I1" s="569"/>
      <c r="J1" s="569"/>
      <c r="K1" s="569"/>
    </row>
    <row r="2" spans="2:14" ht="22.5" customHeight="1">
      <c r="B2" s="35"/>
      <c r="C2" s="35"/>
      <c r="D2" s="35"/>
      <c r="E2" s="35"/>
      <c r="F2" s="35"/>
      <c r="G2" s="35"/>
      <c r="H2" s="35"/>
      <c r="I2" s="35"/>
      <c r="J2" s="426" t="s">
        <v>379</v>
      </c>
      <c r="K2" s="427">
        <f>K3-365*3</f>
        <v>42978</v>
      </c>
    </row>
    <row r="3" spans="2:14" ht="22.5" customHeight="1" thickBot="1">
      <c r="B3" s="1"/>
      <c r="C3" s="1"/>
      <c r="D3" s="1"/>
      <c r="E3" s="1"/>
      <c r="F3" s="1"/>
      <c r="G3" s="1"/>
      <c r="H3" s="1"/>
      <c r="I3" s="1"/>
      <c r="J3" s="428" t="s">
        <v>380</v>
      </c>
      <c r="K3" s="427">
        <f>참여업체현황!K2</f>
        <v>44073</v>
      </c>
    </row>
    <row r="4" spans="2:14" ht="29.25" customHeight="1">
      <c r="B4" s="41" t="s">
        <v>80</v>
      </c>
      <c r="C4" s="40" t="s">
        <v>81</v>
      </c>
      <c r="D4" s="723" t="s">
        <v>82</v>
      </c>
      <c r="E4" s="579"/>
      <c r="F4" s="724"/>
      <c r="G4" s="42" t="s">
        <v>83</v>
      </c>
      <c r="H4" s="80" t="s">
        <v>209</v>
      </c>
      <c r="I4" s="80" t="s">
        <v>210</v>
      </c>
      <c r="J4" s="77" t="s">
        <v>211</v>
      </c>
      <c r="K4" s="53"/>
    </row>
    <row r="5" spans="2:14" ht="22.5" customHeight="1">
      <c r="B5" s="48">
        <v>1</v>
      </c>
      <c r="C5" s="86" t="str">
        <f>참여업체현황!B6</f>
        <v>A사</v>
      </c>
      <c r="D5" s="725">
        <f>J14</f>
        <v>-6582754.7653488852</v>
      </c>
      <c r="E5" s="726"/>
      <c r="F5" s="727"/>
      <c r="G5" s="112">
        <f>참여업체현황!E6</f>
        <v>0.6</v>
      </c>
      <c r="H5" s="56">
        <f>D5*G5</f>
        <v>-3949652.8592093308</v>
      </c>
      <c r="I5" s="39"/>
      <c r="J5" s="39"/>
      <c r="K5" s="49"/>
    </row>
    <row r="6" spans="2:14" ht="22.5" customHeight="1">
      <c r="B6" s="48">
        <v>2</v>
      </c>
      <c r="C6" s="86" t="str">
        <f>참여업체현황!B7</f>
        <v>B사</v>
      </c>
      <c r="D6" s="725">
        <f>J32</f>
        <v>-6582754.7653488852</v>
      </c>
      <c r="E6" s="726"/>
      <c r="F6" s="727"/>
      <c r="G6" s="112">
        <f>참여업체현황!E7</f>
        <v>0.3</v>
      </c>
      <c r="H6" s="56">
        <f t="shared" ref="H6:H7" si="0">D6*G6</f>
        <v>-1974826.4296046654</v>
      </c>
      <c r="I6" s="39"/>
      <c r="J6" s="39"/>
      <c r="K6" s="49"/>
    </row>
    <row r="7" spans="2:14" ht="22.5" customHeight="1">
      <c r="B7" s="48">
        <v>3</v>
      </c>
      <c r="C7" s="86" t="str">
        <f>참여업체현황!B8</f>
        <v>C사</v>
      </c>
      <c r="D7" s="725">
        <f>J50</f>
        <v>-6582754.7653488852</v>
      </c>
      <c r="E7" s="726"/>
      <c r="F7" s="727"/>
      <c r="G7" s="112">
        <f>참여업체현황!E8</f>
        <v>0.1</v>
      </c>
      <c r="H7" s="56">
        <f t="shared" si="0"/>
        <v>-658275.47653488861</v>
      </c>
      <c r="I7" s="39"/>
      <c r="J7" s="39"/>
      <c r="K7" s="49"/>
    </row>
    <row r="8" spans="2:14" ht="22.5" customHeight="1" thickBot="1">
      <c r="B8" s="50"/>
      <c r="C8" s="51" t="s">
        <v>79</v>
      </c>
      <c r="D8" s="720"/>
      <c r="E8" s="721"/>
      <c r="F8" s="722"/>
      <c r="G8" s="51"/>
      <c r="H8" s="57">
        <f>SUM(H5:H7)</f>
        <v>-6582754.7653488852</v>
      </c>
      <c r="I8" s="57">
        <f>H8/100000</f>
        <v>-65.82754765348885</v>
      </c>
      <c r="J8" s="125" t="str">
        <f>IF(I8&gt;=30,"10",IF(I8&gt;=25,"9", IF(I8&gt;=20,"8", IF(I8&gt;=15,"7", IF(I8&lt;15,"6")))))</f>
        <v>6</v>
      </c>
      <c r="K8" s="52"/>
      <c r="M8" s="489" t="s">
        <v>423</v>
      </c>
    </row>
    <row r="9" spans="2:14" s="9" customFormat="1" ht="22.5" customHeight="1">
      <c r="B9" s="113"/>
      <c r="C9" s="113"/>
      <c r="D9" s="113"/>
      <c r="E9" s="113"/>
      <c r="F9" s="113"/>
      <c r="G9" s="113"/>
      <c r="H9" s="114"/>
      <c r="I9" s="113"/>
      <c r="J9" s="113"/>
      <c r="K9" s="62"/>
    </row>
    <row r="10" spans="2:14" ht="22.5" customHeight="1"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2:14" ht="22.5" customHeight="1" thickBot="1">
      <c r="B11" s="143" t="s">
        <v>207</v>
      </c>
      <c r="C11" s="1" t="str">
        <f>참여업체현황!B6</f>
        <v>A사</v>
      </c>
      <c r="D11" s="1"/>
      <c r="E11" s="1"/>
      <c r="F11" s="1"/>
      <c r="G11" s="1"/>
      <c r="H11" s="1"/>
      <c r="I11" s="1"/>
      <c r="J11" s="1"/>
      <c r="K11" s="2"/>
    </row>
    <row r="12" spans="2:14" ht="27">
      <c r="B12" s="576" t="s">
        <v>80</v>
      </c>
      <c r="C12" s="573" t="s">
        <v>84</v>
      </c>
      <c r="D12" s="573" t="s">
        <v>85</v>
      </c>
      <c r="E12" s="36" t="s">
        <v>86</v>
      </c>
      <c r="F12" s="36" t="s">
        <v>564</v>
      </c>
      <c r="G12" s="570" t="s">
        <v>87</v>
      </c>
      <c r="H12" s="570"/>
      <c r="I12" s="36" t="s">
        <v>88</v>
      </c>
      <c r="J12" s="54" t="s">
        <v>94</v>
      </c>
      <c r="K12" s="718" t="s">
        <v>89</v>
      </c>
    </row>
    <row r="13" spans="2:14" ht="17.25" thickBot="1">
      <c r="B13" s="578"/>
      <c r="C13" s="575"/>
      <c r="D13" s="648"/>
      <c r="E13" s="37" t="s">
        <v>90</v>
      </c>
      <c r="F13" s="37" t="s">
        <v>91</v>
      </c>
      <c r="G13" s="37" t="s">
        <v>92</v>
      </c>
      <c r="H13" s="37" t="s">
        <v>93</v>
      </c>
      <c r="I13" s="37" t="s">
        <v>95</v>
      </c>
      <c r="J13" s="55" t="s">
        <v>96</v>
      </c>
      <c r="K13" s="719"/>
    </row>
    <row r="14" spans="2:14" ht="37.5" customHeight="1" thickBot="1">
      <c r="B14" s="223" t="s">
        <v>4</v>
      </c>
      <c r="C14" s="224"/>
      <c r="D14" s="225" t="s">
        <v>422</v>
      </c>
      <c r="E14" s="226"/>
      <c r="F14" s="227"/>
      <c r="G14" s="195"/>
      <c r="H14" s="195"/>
      <c r="I14" s="194"/>
      <c r="J14" s="229">
        <f>J15+(J22*0.6)</f>
        <v>-6582754.7653488852</v>
      </c>
      <c r="K14" s="228"/>
    </row>
    <row r="15" spans="2:14" ht="34.9" customHeight="1" thickBot="1">
      <c r="B15" s="235" t="s">
        <v>73</v>
      </c>
      <c r="C15" s="187">
        <v>1</v>
      </c>
      <c r="D15" s="236"/>
      <c r="E15" s="237"/>
      <c r="F15" s="237"/>
      <c r="G15" s="238"/>
      <c r="H15" s="238"/>
      <c r="I15" s="230"/>
      <c r="J15" s="231">
        <f>SUM(J16:J21)*100%</f>
        <v>-4899262.0418561613</v>
      </c>
      <c r="K15" s="501" t="s">
        <v>445</v>
      </c>
      <c r="M15" s="46" t="s">
        <v>77</v>
      </c>
      <c r="N15" s="46" t="s">
        <v>78</v>
      </c>
    </row>
    <row r="16" spans="2:14" ht="22.5" customHeight="1" thickBot="1">
      <c r="B16" s="633">
        <v>1</v>
      </c>
      <c r="C16" s="699" t="s">
        <v>502</v>
      </c>
      <c r="D16" s="634" t="s">
        <v>75</v>
      </c>
      <c r="E16" s="715">
        <v>1000000</v>
      </c>
      <c r="F16" s="716">
        <v>1</v>
      </c>
      <c r="G16" s="247">
        <v>40818</v>
      </c>
      <c r="H16" s="248">
        <v>41548</v>
      </c>
      <c r="I16" s="159"/>
      <c r="J16" s="713">
        <f>E16*F16*I17/G17</f>
        <v>-1954856.3611491108</v>
      </c>
      <c r="K16" s="706" t="s">
        <v>98</v>
      </c>
      <c r="M16" s="47"/>
      <c r="N16" s="47"/>
    </row>
    <row r="17" spans="2:14" ht="22.5" customHeight="1" thickBot="1">
      <c r="B17" s="635"/>
      <c r="C17" s="636"/>
      <c r="D17" s="636"/>
      <c r="E17" s="709"/>
      <c r="F17" s="710"/>
      <c r="G17" s="711">
        <f>IF(H16-G16=0," ",IF(H16-G16&gt;0,H16-G16+1))</f>
        <v>731</v>
      </c>
      <c r="H17" s="712"/>
      <c r="I17" s="244">
        <f>G17-M17-N17</f>
        <v>-1429</v>
      </c>
      <c r="J17" s="713"/>
      <c r="K17" s="707"/>
      <c r="M17" s="47">
        <f>IF($K$2-G16&lt;=0, "0",IF($K$2-G16&gt;0, $K$2-G16))</f>
        <v>2160</v>
      </c>
      <c r="N17" s="47" t="str">
        <f>IF(H16-$K$3&lt;=0, "0",IF(H16-$K$3&gt;0, H16-$K$3))</f>
        <v>0</v>
      </c>
    </row>
    <row r="18" spans="2:14" ht="22.5" customHeight="1" thickBot="1">
      <c r="B18" s="635">
        <v>2</v>
      </c>
      <c r="C18" s="701" t="s">
        <v>502</v>
      </c>
      <c r="D18" s="636" t="s">
        <v>75</v>
      </c>
      <c r="E18" s="709">
        <v>1000000</v>
      </c>
      <c r="F18" s="710">
        <v>0.5</v>
      </c>
      <c r="G18" s="247">
        <v>40181</v>
      </c>
      <c r="H18" s="248">
        <v>42370</v>
      </c>
      <c r="I18" s="159"/>
      <c r="J18" s="713">
        <f>E18*F18*I19/G19</f>
        <v>-138584.47488584474</v>
      </c>
      <c r="K18" s="706" t="s">
        <v>97</v>
      </c>
      <c r="M18" s="47"/>
      <c r="N18" s="47"/>
    </row>
    <row r="19" spans="2:14" ht="22.5" customHeight="1" thickBot="1">
      <c r="B19" s="635"/>
      <c r="C19" s="636"/>
      <c r="D19" s="636"/>
      <c r="E19" s="709"/>
      <c r="F19" s="710"/>
      <c r="G19" s="711">
        <f>IF(H18-G18=0," ",IF(H18-G18&gt;0,H18-G18+1))</f>
        <v>2190</v>
      </c>
      <c r="H19" s="712"/>
      <c r="I19" s="244">
        <f>G19-M19-N19</f>
        <v>-607</v>
      </c>
      <c r="J19" s="713"/>
      <c r="K19" s="707"/>
      <c r="M19" s="47">
        <f>IF($K$2-G18&lt;=0, "0",IF($K$2-G18&gt;0, $K$2-G18))</f>
        <v>2797</v>
      </c>
      <c r="N19" s="47" t="str">
        <f>IF(H18-$K$3&lt;=0, "0",IF(H18-$K$3&gt;0, H18-$K$3))</f>
        <v>0</v>
      </c>
    </row>
    <row r="20" spans="2:14" ht="22.5" customHeight="1" thickBot="1">
      <c r="B20" s="635">
        <v>3</v>
      </c>
      <c r="C20" s="701" t="s">
        <v>502</v>
      </c>
      <c r="D20" s="636" t="s">
        <v>75</v>
      </c>
      <c r="E20" s="709">
        <v>2000000</v>
      </c>
      <c r="F20" s="710">
        <v>0.7</v>
      </c>
      <c r="G20" s="247">
        <v>40088</v>
      </c>
      <c r="H20" s="248">
        <v>41049</v>
      </c>
      <c r="I20" s="159"/>
      <c r="J20" s="713">
        <f>E20*F20*I21/G21</f>
        <v>-2805821.2058212059</v>
      </c>
      <c r="K20" s="706" t="s">
        <v>98</v>
      </c>
      <c r="M20" s="47"/>
      <c r="N20" s="47"/>
    </row>
    <row r="21" spans="2:14" ht="22.5" customHeight="1" thickBot="1">
      <c r="B21" s="687"/>
      <c r="C21" s="728"/>
      <c r="D21" s="728"/>
      <c r="E21" s="729"/>
      <c r="F21" s="730"/>
      <c r="G21" s="731">
        <f>IF(H20-G20=0," ",IF(H20-G20&gt;0,H20-G20+1))</f>
        <v>962</v>
      </c>
      <c r="H21" s="732"/>
      <c r="I21" s="245">
        <f>G21-M21-N21</f>
        <v>-1928</v>
      </c>
      <c r="J21" s="717"/>
      <c r="K21" s="708"/>
      <c r="M21" s="47">
        <f>IF($K$2-G20&lt;=0, "0",IF($K$2-G20&gt;0, $K$2-G20))</f>
        <v>2890</v>
      </c>
      <c r="N21" s="47" t="str">
        <f>IF(H20-$K$3&lt;=0, "0",IF(H20-$K$3&gt;0, H20-$K$3))</f>
        <v>0</v>
      </c>
    </row>
    <row r="22" spans="2:14" ht="34.9" customHeight="1" thickBot="1">
      <c r="B22" s="239" t="s">
        <v>282</v>
      </c>
      <c r="C22" s="180">
        <v>0.6</v>
      </c>
      <c r="D22" s="236"/>
      <c r="E22" s="236"/>
      <c r="F22" s="236"/>
      <c r="G22" s="240"/>
      <c r="H22" s="240"/>
      <c r="I22" s="233"/>
      <c r="J22" s="234">
        <f>SUM(J23:J26)</f>
        <v>-2805821.2058212059</v>
      </c>
      <c r="K22" s="501" t="s">
        <v>446</v>
      </c>
      <c r="M22" s="47"/>
      <c r="N22" s="47"/>
    </row>
    <row r="23" spans="2:14" ht="22.5" customHeight="1" thickBot="1">
      <c r="B23" s="633">
        <v>1</v>
      </c>
      <c r="C23" s="699" t="s">
        <v>502</v>
      </c>
      <c r="D23" s="634" t="s">
        <v>76</v>
      </c>
      <c r="E23" s="715">
        <v>1000000</v>
      </c>
      <c r="F23" s="716">
        <v>0.8</v>
      </c>
      <c r="G23" s="247">
        <v>40088</v>
      </c>
      <c r="H23" s="248">
        <v>41049</v>
      </c>
      <c r="I23" s="159"/>
      <c r="J23" s="713">
        <f>E23*F23*I24/G24</f>
        <v>-1603326.4033264033</v>
      </c>
      <c r="K23" s="38"/>
      <c r="M23" s="47"/>
      <c r="N23" s="47"/>
    </row>
    <row r="24" spans="2:14" ht="22.5" customHeight="1" thickBot="1">
      <c r="B24" s="635"/>
      <c r="C24" s="636"/>
      <c r="D24" s="636"/>
      <c r="E24" s="709"/>
      <c r="F24" s="710"/>
      <c r="G24" s="711">
        <f>IF(H23-G23=0," ",IF(H23-G23&gt;0,H23-G23+1))</f>
        <v>962</v>
      </c>
      <c r="H24" s="712"/>
      <c r="I24" s="244">
        <f>G24-M24-N24</f>
        <v>-1928</v>
      </c>
      <c r="J24" s="713"/>
      <c r="K24" s="38"/>
      <c r="M24" s="47">
        <f>IF($K$2-G23&lt;=0, "0",IF($K$2-G23&gt;0, $K$2-G23))</f>
        <v>2890</v>
      </c>
      <c r="N24" s="47" t="str">
        <f>IF(H23-$K$3&lt;=0, "0",IF(H23-$K$3&gt;0, H23-$K$3))</f>
        <v>0</v>
      </c>
    </row>
    <row r="25" spans="2:14" ht="22.5" customHeight="1" thickBot="1">
      <c r="B25" s="635">
        <v>2</v>
      </c>
      <c r="C25" s="701" t="s">
        <v>502</v>
      </c>
      <c r="D25" s="636" t="s">
        <v>76</v>
      </c>
      <c r="E25" s="709">
        <v>1200000</v>
      </c>
      <c r="F25" s="710">
        <v>0.5</v>
      </c>
      <c r="G25" s="247">
        <v>40088</v>
      </c>
      <c r="H25" s="248">
        <v>41049</v>
      </c>
      <c r="I25" s="159"/>
      <c r="J25" s="713">
        <f>E25*F25*I26/G26</f>
        <v>-1202494.8024948025</v>
      </c>
      <c r="K25" s="38"/>
      <c r="M25" s="47"/>
      <c r="N25" s="47"/>
    </row>
    <row r="26" spans="2:14" ht="22.5" customHeight="1" thickBot="1">
      <c r="B26" s="687"/>
      <c r="C26" s="728"/>
      <c r="D26" s="728"/>
      <c r="E26" s="729"/>
      <c r="F26" s="730"/>
      <c r="G26" s="733">
        <f>IF(H25-G25=0," ",IF(H25-G25&gt;0,H25-G25+1))</f>
        <v>962</v>
      </c>
      <c r="H26" s="734"/>
      <c r="I26" s="246">
        <f>G26-M26-N26</f>
        <v>-1928</v>
      </c>
      <c r="J26" s="714"/>
      <c r="K26" s="45"/>
      <c r="M26" s="47">
        <f>IF($K$2-G25&lt;=0, "0",IF($K$2-G25&gt;0, $K$2-G25))</f>
        <v>2890</v>
      </c>
      <c r="N26" s="47" t="str">
        <f>IF(H25-$K$3&lt;=0, "0",IF(H25-$K$3&gt;0, H25-$K$3))</f>
        <v>0</v>
      </c>
    </row>
    <row r="27" spans="2:14" ht="22.5" customHeight="1">
      <c r="B27" s="34"/>
      <c r="C27" s="34"/>
      <c r="D27" s="34"/>
      <c r="E27" s="58"/>
      <c r="F27" s="59"/>
      <c r="G27" s="58"/>
      <c r="H27" s="58"/>
      <c r="I27" s="60"/>
      <c r="J27" s="58"/>
      <c r="K27" s="33"/>
      <c r="M27" s="61"/>
      <c r="N27" s="61"/>
    </row>
    <row r="28" spans="2:14" ht="22.5" customHeight="1">
      <c r="B28" s="34"/>
      <c r="C28" s="34"/>
      <c r="D28" s="34"/>
      <c r="E28" s="58"/>
      <c r="F28" s="59"/>
      <c r="G28" s="58"/>
      <c r="H28" s="58"/>
      <c r="I28" s="60"/>
      <c r="J28" s="58"/>
      <c r="K28" s="33"/>
      <c r="M28" s="61"/>
      <c r="N28" s="61"/>
    </row>
    <row r="29" spans="2:14" ht="22.5" customHeight="1" thickBot="1">
      <c r="B29" s="143" t="s">
        <v>207</v>
      </c>
      <c r="C29" s="30" t="str">
        <f>참여업체현황!B7</f>
        <v>B사</v>
      </c>
      <c r="D29" s="30"/>
      <c r="E29" s="30"/>
      <c r="F29" s="30"/>
      <c r="G29" s="30"/>
      <c r="H29" s="30"/>
      <c r="I29" s="30"/>
      <c r="J29" s="30"/>
      <c r="K29" s="30"/>
    </row>
    <row r="30" spans="2:14" ht="27">
      <c r="B30" s="576" t="s">
        <v>59</v>
      </c>
      <c r="C30" s="573" t="s">
        <v>65</v>
      </c>
      <c r="D30" s="573" t="s">
        <v>49</v>
      </c>
      <c r="E30" s="152" t="s">
        <v>72</v>
      </c>
      <c r="F30" s="559" t="s">
        <v>564</v>
      </c>
      <c r="G30" s="570" t="s">
        <v>66</v>
      </c>
      <c r="H30" s="570"/>
      <c r="I30" s="152" t="s">
        <v>67</v>
      </c>
      <c r="J30" s="54" t="s">
        <v>94</v>
      </c>
      <c r="K30" s="718" t="s">
        <v>13</v>
      </c>
    </row>
    <row r="31" spans="2:14" ht="17.25" thickBot="1">
      <c r="B31" s="578"/>
      <c r="C31" s="575"/>
      <c r="D31" s="648"/>
      <c r="E31" s="153" t="s">
        <v>71</v>
      </c>
      <c r="F31" s="153" t="s">
        <v>70</v>
      </c>
      <c r="G31" s="153" t="s">
        <v>68</v>
      </c>
      <c r="H31" s="153" t="s">
        <v>69</v>
      </c>
      <c r="I31" s="153" t="s">
        <v>95</v>
      </c>
      <c r="J31" s="155" t="s">
        <v>96</v>
      </c>
      <c r="K31" s="719"/>
    </row>
    <row r="32" spans="2:14" ht="37.5" customHeight="1" thickBot="1">
      <c r="B32" s="223" t="s">
        <v>4</v>
      </c>
      <c r="C32" s="224"/>
      <c r="D32" s="225" t="s">
        <v>5</v>
      </c>
      <c r="E32" s="226"/>
      <c r="F32" s="227"/>
      <c r="G32" s="195"/>
      <c r="H32" s="195"/>
      <c r="I32" s="194"/>
      <c r="J32" s="229">
        <f>J33+(J40*0.6)</f>
        <v>-6582754.7653488852</v>
      </c>
      <c r="K32" s="228"/>
    </row>
    <row r="33" spans="2:14" ht="37.5" customHeight="1" thickBot="1">
      <c r="B33" s="235" t="s">
        <v>73</v>
      </c>
      <c r="C33" s="187">
        <v>1</v>
      </c>
      <c r="D33" s="236"/>
      <c r="E33" s="237"/>
      <c r="F33" s="237"/>
      <c r="G33" s="238"/>
      <c r="H33" s="238"/>
      <c r="I33" s="230"/>
      <c r="J33" s="231">
        <f>SUM(J34:J39)*100%</f>
        <v>-4899262.0418561613</v>
      </c>
      <c r="K33" s="501" t="s">
        <v>445</v>
      </c>
      <c r="M33" s="46" t="s">
        <v>77</v>
      </c>
      <c r="N33" s="46" t="s">
        <v>78</v>
      </c>
    </row>
    <row r="34" spans="2:14" ht="22.5" customHeight="1" thickBot="1">
      <c r="B34" s="633">
        <v>1</v>
      </c>
      <c r="C34" s="699" t="s">
        <v>502</v>
      </c>
      <c r="D34" s="634" t="s">
        <v>75</v>
      </c>
      <c r="E34" s="715">
        <v>1000000</v>
      </c>
      <c r="F34" s="716">
        <v>1</v>
      </c>
      <c r="G34" s="247">
        <v>40818</v>
      </c>
      <c r="H34" s="248">
        <v>41548</v>
      </c>
      <c r="I34" s="159"/>
      <c r="J34" s="713">
        <f>E34*F34*I35/G35</f>
        <v>-1954856.3611491108</v>
      </c>
      <c r="K34" s="706" t="s">
        <v>98</v>
      </c>
      <c r="M34" s="47"/>
      <c r="N34" s="47"/>
    </row>
    <row r="35" spans="2:14" ht="22.5" customHeight="1" thickBot="1">
      <c r="B35" s="635"/>
      <c r="C35" s="636"/>
      <c r="D35" s="636"/>
      <c r="E35" s="709"/>
      <c r="F35" s="710"/>
      <c r="G35" s="711">
        <f>IF(H34-G34=0," ",IF(H34-G34&gt;0,H34-G34+1))</f>
        <v>731</v>
      </c>
      <c r="H35" s="712"/>
      <c r="I35" s="244">
        <f>G35-M35-N35</f>
        <v>-1429</v>
      </c>
      <c r="J35" s="713"/>
      <c r="K35" s="707"/>
      <c r="M35" s="47">
        <f>IF($K$2-G34&lt;=0, "0",IF($K$2-G34&gt;0, $K$2-G34))</f>
        <v>2160</v>
      </c>
      <c r="N35" s="47" t="str">
        <f>IF(H34-$K$3&lt;=0, "0",IF(H34-$K$3&gt;0, H34-$K$3))</f>
        <v>0</v>
      </c>
    </row>
    <row r="36" spans="2:14" ht="22.5" customHeight="1" thickBot="1">
      <c r="B36" s="635">
        <v>2</v>
      </c>
      <c r="C36" s="701" t="s">
        <v>502</v>
      </c>
      <c r="D36" s="636" t="s">
        <v>75</v>
      </c>
      <c r="E36" s="709">
        <v>1000000</v>
      </c>
      <c r="F36" s="710">
        <v>0.5</v>
      </c>
      <c r="G36" s="247">
        <v>40181</v>
      </c>
      <c r="H36" s="248">
        <v>42370</v>
      </c>
      <c r="I36" s="159"/>
      <c r="J36" s="713">
        <f>E36*F36*I37/G37</f>
        <v>-138584.47488584474</v>
      </c>
      <c r="K36" s="706" t="s">
        <v>97</v>
      </c>
      <c r="M36" s="47"/>
      <c r="N36" s="47"/>
    </row>
    <row r="37" spans="2:14" ht="22.5" customHeight="1" thickBot="1">
      <c r="B37" s="635"/>
      <c r="C37" s="636"/>
      <c r="D37" s="636"/>
      <c r="E37" s="709"/>
      <c r="F37" s="710"/>
      <c r="G37" s="711">
        <f>IF(H36-G36=0," ",IF(H36-G36&gt;0,H36-G36+1))</f>
        <v>2190</v>
      </c>
      <c r="H37" s="712"/>
      <c r="I37" s="244">
        <f>G37-M37-N37</f>
        <v>-607</v>
      </c>
      <c r="J37" s="713"/>
      <c r="K37" s="707"/>
      <c r="M37" s="47">
        <f>IF($K$2-G36&lt;=0, "0",IF($K$2-G36&gt;0, $K$2-G36))</f>
        <v>2797</v>
      </c>
      <c r="N37" s="47" t="str">
        <f>IF(H36-$K$3&lt;=0, "0",IF(H36-$K$3&gt;0, H36-$K$3))</f>
        <v>0</v>
      </c>
    </row>
    <row r="38" spans="2:14" ht="22.5" customHeight="1" thickBot="1">
      <c r="B38" s="635">
        <v>3</v>
      </c>
      <c r="C38" s="701" t="s">
        <v>502</v>
      </c>
      <c r="D38" s="636" t="s">
        <v>75</v>
      </c>
      <c r="E38" s="709">
        <v>2000000</v>
      </c>
      <c r="F38" s="710">
        <v>0.7</v>
      </c>
      <c r="G38" s="247">
        <v>40088</v>
      </c>
      <c r="H38" s="248">
        <v>41049</v>
      </c>
      <c r="I38" s="159"/>
      <c r="J38" s="713">
        <f>E38*F38*I39/G39</f>
        <v>-2805821.2058212059</v>
      </c>
      <c r="K38" s="706" t="s">
        <v>98</v>
      </c>
      <c r="M38" s="47"/>
      <c r="N38" s="47"/>
    </row>
    <row r="39" spans="2:14" ht="22.5" customHeight="1" thickBot="1">
      <c r="B39" s="687"/>
      <c r="C39" s="728"/>
      <c r="D39" s="728"/>
      <c r="E39" s="729"/>
      <c r="F39" s="730"/>
      <c r="G39" s="731">
        <f>IF(H38-G38=0," ",IF(H38-G38&gt;0,H38-G38+1))</f>
        <v>962</v>
      </c>
      <c r="H39" s="732"/>
      <c r="I39" s="245">
        <f>G39-M39-N39</f>
        <v>-1928</v>
      </c>
      <c r="J39" s="717"/>
      <c r="K39" s="708"/>
      <c r="M39" s="47">
        <f>IF($K$2-G38&lt;=0, "0",IF($K$2-G38&gt;0, $K$2-G38))</f>
        <v>2890</v>
      </c>
      <c r="N39" s="47" t="str">
        <f>IF(H38-$K$3&lt;=0, "0",IF(H38-$K$3&gt;0, H38-$K$3))</f>
        <v>0</v>
      </c>
    </row>
    <row r="40" spans="2:14" ht="34.9" customHeight="1" thickBot="1">
      <c r="B40" s="239" t="s">
        <v>282</v>
      </c>
      <c r="C40" s="180">
        <v>0.6</v>
      </c>
      <c r="D40" s="236"/>
      <c r="E40" s="236"/>
      <c r="F40" s="236"/>
      <c r="G40" s="240"/>
      <c r="H40" s="240"/>
      <c r="I40" s="233"/>
      <c r="J40" s="234">
        <f>SUM(J41:J44)</f>
        <v>-2805821.2058212059</v>
      </c>
      <c r="K40" s="501" t="s">
        <v>446</v>
      </c>
      <c r="M40" s="47"/>
      <c r="N40" s="47"/>
    </row>
    <row r="41" spans="2:14" ht="22.5" customHeight="1" thickBot="1">
      <c r="B41" s="633">
        <v>1</v>
      </c>
      <c r="C41" s="699" t="s">
        <v>502</v>
      </c>
      <c r="D41" s="634" t="s">
        <v>76</v>
      </c>
      <c r="E41" s="715">
        <v>1000000</v>
      </c>
      <c r="F41" s="716">
        <v>0.8</v>
      </c>
      <c r="G41" s="247">
        <v>40088</v>
      </c>
      <c r="H41" s="248">
        <v>41049</v>
      </c>
      <c r="I41" s="159"/>
      <c r="J41" s="713">
        <f>E41*F41*I42/G42</f>
        <v>-1603326.4033264033</v>
      </c>
      <c r="K41" s="43"/>
      <c r="M41" s="47"/>
      <c r="N41" s="47"/>
    </row>
    <row r="42" spans="2:14" ht="22.5" customHeight="1" thickBot="1">
      <c r="B42" s="635"/>
      <c r="C42" s="636"/>
      <c r="D42" s="636"/>
      <c r="E42" s="709"/>
      <c r="F42" s="710"/>
      <c r="G42" s="711">
        <f>IF(H41-G41=0," ",IF(H41-G41&gt;0,H41-G41+1))</f>
        <v>962</v>
      </c>
      <c r="H42" s="712"/>
      <c r="I42" s="244">
        <f>G42-M42-N42</f>
        <v>-1928</v>
      </c>
      <c r="J42" s="713"/>
      <c r="K42" s="43"/>
      <c r="M42" s="47">
        <f>IF($K$2-G41&lt;=0, "0",IF($K$2-G41&gt;0, $K$2-G41))</f>
        <v>2890</v>
      </c>
      <c r="N42" s="47" t="str">
        <f>IF(H41-$K$3&lt;=0, "0",IF(H41-$K$3&gt;0, H41-$K$3))</f>
        <v>0</v>
      </c>
    </row>
    <row r="43" spans="2:14" ht="22.5" customHeight="1" thickBot="1">
      <c r="B43" s="635">
        <v>2</v>
      </c>
      <c r="C43" s="701" t="s">
        <v>502</v>
      </c>
      <c r="D43" s="636" t="s">
        <v>76</v>
      </c>
      <c r="E43" s="709">
        <v>1200000</v>
      </c>
      <c r="F43" s="710">
        <v>0.5</v>
      </c>
      <c r="G43" s="247">
        <v>40088</v>
      </c>
      <c r="H43" s="248">
        <v>41049</v>
      </c>
      <c r="I43" s="159"/>
      <c r="J43" s="713">
        <f>E43*F43*I44/G44</f>
        <v>-1202494.8024948025</v>
      </c>
      <c r="K43" s="43"/>
      <c r="M43" s="47"/>
      <c r="N43" s="47"/>
    </row>
    <row r="44" spans="2:14" ht="22.5" customHeight="1" thickBot="1">
      <c r="B44" s="687"/>
      <c r="C44" s="728"/>
      <c r="D44" s="728"/>
      <c r="E44" s="729"/>
      <c r="F44" s="730"/>
      <c r="G44" s="733">
        <f>IF(H43-G43=0," ",IF(H43-G43&gt;0,H43-G43+1))</f>
        <v>962</v>
      </c>
      <c r="H44" s="734"/>
      <c r="I44" s="246">
        <f>G44-M44-N44</f>
        <v>-1928</v>
      </c>
      <c r="J44" s="714"/>
      <c r="K44" s="45"/>
      <c r="M44" s="47">
        <f>IF($K$2-G43&lt;=0, "0",IF($K$2-G43&gt;0, $K$2-G43))</f>
        <v>2890</v>
      </c>
      <c r="N44" s="47" t="str">
        <f>IF(H43-$K$3&lt;=0, "0",IF(H43-$K$3&gt;0, H43-$K$3))</f>
        <v>0</v>
      </c>
    </row>
    <row r="45" spans="2:14" ht="22.5" customHeight="1">
      <c r="B45" s="34"/>
      <c r="C45" s="34"/>
      <c r="D45" s="34"/>
      <c r="E45" s="58"/>
      <c r="F45" s="59"/>
      <c r="G45" s="58"/>
      <c r="H45" s="58"/>
      <c r="I45" s="60"/>
      <c r="J45" s="58"/>
      <c r="K45" s="33"/>
      <c r="M45" s="61"/>
      <c r="N45" s="61"/>
    </row>
    <row r="46" spans="2:14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4" ht="22.5" customHeight="1" thickBot="1">
      <c r="B47" s="143" t="s">
        <v>207</v>
      </c>
      <c r="C47" s="30" t="str">
        <f>참여업체현황!B8</f>
        <v>C사</v>
      </c>
      <c r="D47" s="30"/>
      <c r="E47" s="30"/>
      <c r="F47" s="30"/>
      <c r="G47" s="30"/>
      <c r="H47" s="30"/>
      <c r="I47" s="30"/>
      <c r="J47" s="30"/>
      <c r="K47" s="30"/>
    </row>
    <row r="48" spans="2:14" ht="27">
      <c r="B48" s="576" t="s">
        <v>59</v>
      </c>
      <c r="C48" s="573" t="s">
        <v>65</v>
      </c>
      <c r="D48" s="573" t="s">
        <v>49</v>
      </c>
      <c r="E48" s="152" t="s">
        <v>72</v>
      </c>
      <c r="F48" s="559" t="s">
        <v>564</v>
      </c>
      <c r="G48" s="570" t="s">
        <v>66</v>
      </c>
      <c r="H48" s="570"/>
      <c r="I48" s="152" t="s">
        <v>67</v>
      </c>
      <c r="J48" s="54" t="s">
        <v>94</v>
      </c>
      <c r="K48" s="718" t="s">
        <v>13</v>
      </c>
    </row>
    <row r="49" spans="2:14" ht="17.25" thickBot="1">
      <c r="B49" s="578"/>
      <c r="C49" s="575"/>
      <c r="D49" s="648"/>
      <c r="E49" s="153" t="s">
        <v>71</v>
      </c>
      <c r="F49" s="153" t="s">
        <v>70</v>
      </c>
      <c r="G49" s="153" t="s">
        <v>68</v>
      </c>
      <c r="H49" s="153" t="s">
        <v>69</v>
      </c>
      <c r="I49" s="153" t="s">
        <v>95</v>
      </c>
      <c r="J49" s="155" t="s">
        <v>96</v>
      </c>
      <c r="K49" s="719"/>
    </row>
    <row r="50" spans="2:14" ht="37.5" customHeight="1" thickBot="1">
      <c r="B50" s="223" t="s">
        <v>4</v>
      </c>
      <c r="C50" s="224"/>
      <c r="D50" s="225" t="s">
        <v>5</v>
      </c>
      <c r="E50" s="226"/>
      <c r="F50" s="227"/>
      <c r="G50" s="195"/>
      <c r="H50" s="195"/>
      <c r="I50" s="194"/>
      <c r="J50" s="229">
        <f>J51+(J58*0.6)</f>
        <v>-6582754.7653488852</v>
      </c>
      <c r="K50" s="228"/>
    </row>
    <row r="51" spans="2:14" ht="37.5" customHeight="1" thickBot="1">
      <c r="B51" s="235" t="s">
        <v>73</v>
      </c>
      <c r="C51" s="187">
        <v>1</v>
      </c>
      <c r="D51" s="236"/>
      <c r="E51" s="237"/>
      <c r="F51" s="237"/>
      <c r="G51" s="238"/>
      <c r="H51" s="238"/>
      <c r="I51" s="230"/>
      <c r="J51" s="231">
        <f>SUM(J52:J57)*100%</f>
        <v>-4899262.0418561613</v>
      </c>
      <c r="K51" s="501" t="s">
        <v>445</v>
      </c>
      <c r="M51" s="46" t="s">
        <v>77</v>
      </c>
      <c r="N51" s="46" t="s">
        <v>78</v>
      </c>
    </row>
    <row r="52" spans="2:14" ht="22.5" customHeight="1" thickBot="1">
      <c r="B52" s="633">
        <v>1</v>
      </c>
      <c r="C52" s="699" t="s">
        <v>502</v>
      </c>
      <c r="D52" s="634" t="s">
        <v>75</v>
      </c>
      <c r="E52" s="715">
        <v>1000000</v>
      </c>
      <c r="F52" s="716">
        <v>1</v>
      </c>
      <c r="G52" s="247">
        <v>40818</v>
      </c>
      <c r="H52" s="248">
        <v>41548</v>
      </c>
      <c r="I52" s="159"/>
      <c r="J52" s="713">
        <f>E52*F52*I53/G53</f>
        <v>-1954856.3611491108</v>
      </c>
      <c r="K52" s="706" t="s">
        <v>98</v>
      </c>
      <c r="M52" s="47"/>
      <c r="N52" s="47"/>
    </row>
    <row r="53" spans="2:14" ht="22.5" customHeight="1" thickBot="1">
      <c r="B53" s="635"/>
      <c r="C53" s="636"/>
      <c r="D53" s="636"/>
      <c r="E53" s="709"/>
      <c r="F53" s="710"/>
      <c r="G53" s="711">
        <f>IF(H52-G52=0," ",IF(H52-G52&gt;0,H52-G52+1))</f>
        <v>731</v>
      </c>
      <c r="H53" s="712"/>
      <c r="I53" s="244">
        <f>G53-M53-N53</f>
        <v>-1429</v>
      </c>
      <c r="J53" s="713"/>
      <c r="K53" s="707"/>
      <c r="M53" s="47">
        <f>IF($K$2-G52&lt;=0, "0",IF($K$2-G52&gt;0, $K$2-G52))</f>
        <v>2160</v>
      </c>
      <c r="N53" s="47" t="str">
        <f>IF(H52-$K$3&lt;=0, "0",IF(H52-$K$3&gt;0, H52-$K$3))</f>
        <v>0</v>
      </c>
    </row>
    <row r="54" spans="2:14" ht="22.5" customHeight="1" thickBot="1">
      <c r="B54" s="635">
        <v>2</v>
      </c>
      <c r="C54" s="701" t="s">
        <v>502</v>
      </c>
      <c r="D54" s="636" t="s">
        <v>75</v>
      </c>
      <c r="E54" s="709">
        <v>1000000</v>
      </c>
      <c r="F54" s="710">
        <v>0.5</v>
      </c>
      <c r="G54" s="247">
        <v>40181</v>
      </c>
      <c r="H54" s="248">
        <v>42370</v>
      </c>
      <c r="I54" s="159"/>
      <c r="J54" s="713">
        <f>E54*F54*I55/G55</f>
        <v>-138584.47488584474</v>
      </c>
      <c r="K54" s="706" t="s">
        <v>97</v>
      </c>
      <c r="M54" s="47"/>
      <c r="N54" s="47"/>
    </row>
    <row r="55" spans="2:14" ht="22.5" customHeight="1" thickBot="1">
      <c r="B55" s="635"/>
      <c r="C55" s="636"/>
      <c r="D55" s="636"/>
      <c r="E55" s="709"/>
      <c r="F55" s="710"/>
      <c r="G55" s="711">
        <f>IF(H54-G54=0," ",IF(H54-G54&gt;0,H54-G54+1))</f>
        <v>2190</v>
      </c>
      <c r="H55" s="712"/>
      <c r="I55" s="244">
        <f>G55-M55-N55</f>
        <v>-607</v>
      </c>
      <c r="J55" s="713"/>
      <c r="K55" s="707"/>
      <c r="M55" s="47">
        <f>IF($K$2-G54&lt;=0, "0",IF($K$2-G54&gt;0, $K$2-G54))</f>
        <v>2797</v>
      </c>
      <c r="N55" s="47" t="str">
        <f>IF(H54-$K$3&lt;=0, "0",IF(H54-$K$3&gt;0, H54-$K$3))</f>
        <v>0</v>
      </c>
    </row>
    <row r="56" spans="2:14" ht="22.5" customHeight="1" thickBot="1">
      <c r="B56" s="635">
        <v>3</v>
      </c>
      <c r="C56" s="701" t="s">
        <v>502</v>
      </c>
      <c r="D56" s="636" t="s">
        <v>75</v>
      </c>
      <c r="E56" s="709">
        <v>2000000</v>
      </c>
      <c r="F56" s="710">
        <v>0.7</v>
      </c>
      <c r="G56" s="247">
        <v>40088</v>
      </c>
      <c r="H56" s="248">
        <v>41049</v>
      </c>
      <c r="I56" s="159"/>
      <c r="J56" s="713">
        <f>E56*F56*I57/G57</f>
        <v>-2805821.2058212059</v>
      </c>
      <c r="K56" s="706" t="s">
        <v>98</v>
      </c>
      <c r="M56" s="47"/>
      <c r="N56" s="47"/>
    </row>
    <row r="57" spans="2:14" ht="22.5" customHeight="1" thickBot="1">
      <c r="B57" s="687"/>
      <c r="C57" s="728"/>
      <c r="D57" s="728"/>
      <c r="E57" s="729"/>
      <c r="F57" s="730"/>
      <c r="G57" s="731">
        <f>IF(H56-G56=0," ",IF(H56-G56&gt;0,H56-G56+1))</f>
        <v>962</v>
      </c>
      <c r="H57" s="732"/>
      <c r="I57" s="245">
        <f>G57-M57-N57</f>
        <v>-1928</v>
      </c>
      <c r="J57" s="717"/>
      <c r="K57" s="708"/>
      <c r="M57" s="47">
        <f>IF($K$2-G56&lt;=0, "0",IF($K$2-G56&gt;0, $K$2-G56))</f>
        <v>2890</v>
      </c>
      <c r="N57" s="47" t="str">
        <f>IF(H56-$K$3&lt;=0, "0",IF(H56-$K$3&gt;0, H56-$K$3))</f>
        <v>0</v>
      </c>
    </row>
    <row r="58" spans="2:14" ht="34.9" customHeight="1" thickBot="1">
      <c r="B58" s="239" t="s">
        <v>282</v>
      </c>
      <c r="C58" s="180">
        <v>0.6</v>
      </c>
      <c r="D58" s="236"/>
      <c r="E58" s="236"/>
      <c r="F58" s="236"/>
      <c r="G58" s="240"/>
      <c r="H58" s="240"/>
      <c r="I58" s="233"/>
      <c r="J58" s="234">
        <f>SUM(J59:J62)</f>
        <v>-2805821.2058212059</v>
      </c>
      <c r="K58" s="501" t="s">
        <v>446</v>
      </c>
      <c r="M58" s="47"/>
      <c r="N58" s="47"/>
    </row>
    <row r="59" spans="2:14" ht="22.5" customHeight="1" thickBot="1">
      <c r="B59" s="633">
        <v>1</v>
      </c>
      <c r="C59" s="699" t="s">
        <v>502</v>
      </c>
      <c r="D59" s="634" t="s">
        <v>76</v>
      </c>
      <c r="E59" s="715">
        <v>1000000</v>
      </c>
      <c r="F59" s="716">
        <v>0.8</v>
      </c>
      <c r="G59" s="247">
        <v>40088</v>
      </c>
      <c r="H59" s="248">
        <v>41049</v>
      </c>
      <c r="I59" s="159"/>
      <c r="J59" s="713">
        <f>E59*F59*I60/G60</f>
        <v>-1603326.4033264033</v>
      </c>
      <c r="K59" s="43"/>
      <c r="M59" s="47"/>
      <c r="N59" s="47"/>
    </row>
    <row r="60" spans="2:14" ht="22.5" customHeight="1" thickBot="1">
      <c r="B60" s="635"/>
      <c r="C60" s="636"/>
      <c r="D60" s="636"/>
      <c r="E60" s="709"/>
      <c r="F60" s="710"/>
      <c r="G60" s="711">
        <f>IF(H59-G59=0," ",IF(H59-G59&gt;0,H59-G59+1))</f>
        <v>962</v>
      </c>
      <c r="H60" s="712"/>
      <c r="I60" s="244">
        <f>G60-M60-N60</f>
        <v>-1928</v>
      </c>
      <c r="J60" s="713"/>
      <c r="K60" s="43"/>
      <c r="M60" s="47">
        <f>IF($K$2-G59&lt;=0, "0",IF($K$2-G59&gt;0, $K$2-G59))</f>
        <v>2890</v>
      </c>
      <c r="N60" s="47" t="str">
        <f>IF(H59-$K$3&lt;=0, "0",IF(H59-$K$3&gt;0, H59-$K$3))</f>
        <v>0</v>
      </c>
    </row>
    <row r="61" spans="2:14" ht="22.5" customHeight="1" thickBot="1">
      <c r="B61" s="635">
        <v>2</v>
      </c>
      <c r="C61" s="701" t="s">
        <v>502</v>
      </c>
      <c r="D61" s="636" t="s">
        <v>76</v>
      </c>
      <c r="E61" s="709">
        <v>1200000</v>
      </c>
      <c r="F61" s="710">
        <v>0.5</v>
      </c>
      <c r="G61" s="247">
        <v>40088</v>
      </c>
      <c r="H61" s="248">
        <v>41049</v>
      </c>
      <c r="I61" s="159"/>
      <c r="J61" s="713">
        <f>E61*F61*I62/G62</f>
        <v>-1202494.8024948025</v>
      </c>
      <c r="K61" s="43"/>
      <c r="M61" s="47"/>
      <c r="N61" s="47"/>
    </row>
    <row r="62" spans="2:14" ht="22.5" customHeight="1" thickBot="1">
      <c r="B62" s="687"/>
      <c r="C62" s="728"/>
      <c r="D62" s="728"/>
      <c r="E62" s="729"/>
      <c r="F62" s="730"/>
      <c r="G62" s="733">
        <f>IF(H61-G61=0," ",IF(H61-G61&gt;0,H61-G61+1))</f>
        <v>962</v>
      </c>
      <c r="H62" s="734"/>
      <c r="I62" s="246">
        <f>G62-M62-N62</f>
        <v>-1928</v>
      </c>
      <c r="J62" s="714"/>
      <c r="K62" s="45"/>
      <c r="M62" s="47">
        <f>IF($K$2-G61&lt;=0, "0",IF($K$2-G61&gt;0, $K$2-G61))</f>
        <v>2890</v>
      </c>
      <c r="N62" s="47" t="str">
        <f>IF(H61-$K$3&lt;=0, "0",IF(H61-$K$3&gt;0, H61-$K$3))</f>
        <v>0</v>
      </c>
    </row>
    <row r="64" spans="2:14">
      <c r="E64" s="30"/>
    </row>
  </sheetData>
  <mergeCells count="135">
    <mergeCell ref="B61:B62"/>
    <mergeCell ref="C61:C62"/>
    <mergeCell ref="D61:D62"/>
    <mergeCell ref="E61:E62"/>
    <mergeCell ref="F61:F62"/>
    <mergeCell ref="J61:J62"/>
    <mergeCell ref="G62:H62"/>
    <mergeCell ref="B59:B60"/>
    <mergeCell ref="C59:C60"/>
    <mergeCell ref="D59:D60"/>
    <mergeCell ref="E59:E60"/>
    <mergeCell ref="F59:F60"/>
    <mergeCell ref="J59:J60"/>
    <mergeCell ref="G60:H60"/>
    <mergeCell ref="B52:B53"/>
    <mergeCell ref="G48:H48"/>
    <mergeCell ref="J43:J44"/>
    <mergeCell ref="F54:F55"/>
    <mergeCell ref="J54:J55"/>
    <mergeCell ref="G55:H55"/>
    <mergeCell ref="B56:B57"/>
    <mergeCell ref="C56:C57"/>
    <mergeCell ref="D56:D57"/>
    <mergeCell ref="E56:E57"/>
    <mergeCell ref="F56:F57"/>
    <mergeCell ref="J56:J57"/>
    <mergeCell ref="G57:H57"/>
    <mergeCell ref="B54:B55"/>
    <mergeCell ref="C54:C55"/>
    <mergeCell ref="D54:D55"/>
    <mergeCell ref="E54:E55"/>
    <mergeCell ref="B43:B44"/>
    <mergeCell ref="C43:C44"/>
    <mergeCell ref="D43:D44"/>
    <mergeCell ref="E43:E44"/>
    <mergeCell ref="F43:F44"/>
    <mergeCell ref="G44:H44"/>
    <mergeCell ref="B48:B49"/>
    <mergeCell ref="B41:B42"/>
    <mergeCell ref="C41:C42"/>
    <mergeCell ref="D41:D42"/>
    <mergeCell ref="E41:E42"/>
    <mergeCell ref="F41:F42"/>
    <mergeCell ref="J41:J42"/>
    <mergeCell ref="B38:B39"/>
    <mergeCell ref="C38:C39"/>
    <mergeCell ref="D38:D39"/>
    <mergeCell ref="G42:H42"/>
    <mergeCell ref="B36:B37"/>
    <mergeCell ref="C36:C37"/>
    <mergeCell ref="D36:D37"/>
    <mergeCell ref="E36:E37"/>
    <mergeCell ref="F36:F37"/>
    <mergeCell ref="J36:J37"/>
    <mergeCell ref="G37:H37"/>
    <mergeCell ref="E38:E39"/>
    <mergeCell ref="F38:F39"/>
    <mergeCell ref="J38:J39"/>
    <mergeCell ref="G39:H39"/>
    <mergeCell ref="B20:B21"/>
    <mergeCell ref="C20:C21"/>
    <mergeCell ref="D20:D21"/>
    <mergeCell ref="E20:E21"/>
    <mergeCell ref="F20:F21"/>
    <mergeCell ref="G21:H21"/>
    <mergeCell ref="B34:B35"/>
    <mergeCell ref="C34:C35"/>
    <mergeCell ref="D34:D35"/>
    <mergeCell ref="E34:E35"/>
    <mergeCell ref="F34:F35"/>
    <mergeCell ref="G24:H24"/>
    <mergeCell ref="B25:B26"/>
    <mergeCell ref="C25:C26"/>
    <mergeCell ref="D25:D26"/>
    <mergeCell ref="E25:E26"/>
    <mergeCell ref="F25:F26"/>
    <mergeCell ref="G26:H26"/>
    <mergeCell ref="B30:B31"/>
    <mergeCell ref="C30:C31"/>
    <mergeCell ref="D30:D31"/>
    <mergeCell ref="G35:H35"/>
    <mergeCell ref="B23:B24"/>
    <mergeCell ref="C23:C24"/>
    <mergeCell ref="B12:B13"/>
    <mergeCell ref="B16:B17"/>
    <mergeCell ref="G12:H12"/>
    <mergeCell ref="C16:C17"/>
    <mergeCell ref="D16:D17"/>
    <mergeCell ref="E16:E17"/>
    <mergeCell ref="B1:K1"/>
    <mergeCell ref="D8:F8"/>
    <mergeCell ref="B18:B19"/>
    <mergeCell ref="K12:K13"/>
    <mergeCell ref="K16:K17"/>
    <mergeCell ref="K18:K19"/>
    <mergeCell ref="D4:F4"/>
    <mergeCell ref="D5:F5"/>
    <mergeCell ref="D6:F6"/>
    <mergeCell ref="D7:F7"/>
    <mergeCell ref="J18:J19"/>
    <mergeCell ref="J16:J17"/>
    <mergeCell ref="D12:D13"/>
    <mergeCell ref="F16:F17"/>
    <mergeCell ref="G17:H17"/>
    <mergeCell ref="C18:C19"/>
    <mergeCell ref="C12:C13"/>
    <mergeCell ref="D18:D19"/>
    <mergeCell ref="C52:C53"/>
    <mergeCell ref="D52:D53"/>
    <mergeCell ref="E52:E53"/>
    <mergeCell ref="F52:F53"/>
    <mergeCell ref="J52:J53"/>
    <mergeCell ref="G53:H53"/>
    <mergeCell ref="K20:K21"/>
    <mergeCell ref="J20:J21"/>
    <mergeCell ref="C48:C49"/>
    <mergeCell ref="D48:D49"/>
    <mergeCell ref="K30:K31"/>
    <mergeCell ref="K48:K49"/>
    <mergeCell ref="K34:K35"/>
    <mergeCell ref="K36:K37"/>
    <mergeCell ref="K38:K39"/>
    <mergeCell ref="K52:K53"/>
    <mergeCell ref="K54:K55"/>
    <mergeCell ref="K56:K57"/>
    <mergeCell ref="E18:E19"/>
    <mergeCell ref="F18:F19"/>
    <mergeCell ref="G19:H19"/>
    <mergeCell ref="J23:J24"/>
    <mergeCell ref="J25:J26"/>
    <mergeCell ref="J34:J35"/>
    <mergeCell ref="D23:D24"/>
    <mergeCell ref="E23:E24"/>
    <mergeCell ref="F23:F24"/>
    <mergeCell ref="G30:H30"/>
  </mergeCells>
  <phoneticPr fontId="8" type="noConversion"/>
  <printOptions horizontalCentered="1"/>
  <pageMargins left="0.39370078740157483" right="0.39370078740157483" top="0.78740157480314965" bottom="0.78740157480314965" header="0.19685039370078741" footer="0.19685039370078741"/>
  <pageSetup paperSize="9" orientation="landscape" r:id="rId1"/>
  <rowBreaks count="4" manualBreakCount="4">
    <brk id="9" max="11" man="1"/>
    <brk id="27" max="11" man="1"/>
    <brk id="45" max="11" man="1"/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15</vt:i4>
      </vt:variant>
    </vt:vector>
  </HeadingPairs>
  <TitlesOfParts>
    <vt:vector size="31" baseType="lpstr">
      <vt:lpstr>표지</vt:lpstr>
      <vt:lpstr>참여업체현황</vt:lpstr>
      <vt:lpstr>참여기술인명단</vt:lpstr>
      <vt:lpstr>자기평가서</vt:lpstr>
      <vt:lpstr>가.개인별 경력 및 실적목록</vt:lpstr>
      <vt:lpstr>가.해당분야 경력</vt:lpstr>
      <vt:lpstr>가.직무분야 실적</vt:lpstr>
      <vt:lpstr>가.교육훈련 이수 및 기술자격현황</vt:lpstr>
      <vt:lpstr>나.유사용역사업 수행실적</vt:lpstr>
      <vt:lpstr>다.신용도</vt:lpstr>
      <vt:lpstr>라.기술개발 및 투자실적</vt:lpstr>
      <vt:lpstr>바.교체빈도</vt:lpstr>
      <vt:lpstr>공사비절감기여 기술자</vt:lpstr>
      <vt:lpstr>건설기술인 신규고용</vt:lpstr>
      <vt:lpstr>부패행위 관련자</vt:lpstr>
      <vt:lpstr>업무중첩도</vt:lpstr>
      <vt:lpstr>'가.개인별 경력 및 실적목록'!Print_Area</vt:lpstr>
      <vt:lpstr>'가.교육훈련 이수 및 기술자격현황'!Print_Area</vt:lpstr>
      <vt:lpstr>'가.직무분야 실적'!Print_Area</vt:lpstr>
      <vt:lpstr>'가.해당분야 경력'!Print_Area</vt:lpstr>
      <vt:lpstr>'나.유사용역사업 수행실적'!Print_Area</vt:lpstr>
      <vt:lpstr>다.신용도!Print_Area</vt:lpstr>
      <vt:lpstr>'라.기술개발 및 투자실적'!Print_Area</vt:lpstr>
      <vt:lpstr>바.교체빈도!Print_Area</vt:lpstr>
      <vt:lpstr>'부패행위 관련자'!Print_Area</vt:lpstr>
      <vt:lpstr>자기평가서!Print_Area</vt:lpstr>
      <vt:lpstr>참여기술인명단!Print_Area</vt:lpstr>
      <vt:lpstr>참여업체현황!Print_Area</vt:lpstr>
      <vt:lpstr>교육</vt:lpstr>
      <vt:lpstr>등급</vt:lpstr>
      <vt:lpstr>자격증</vt:lpstr>
    </vt:vector>
  </TitlesOfParts>
  <Company>LG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이장근</cp:lastModifiedBy>
  <cp:lastPrinted>2020-07-31T08:13:10Z</cp:lastPrinted>
  <dcterms:created xsi:type="dcterms:W3CDTF">2010-10-11T00:18:10Z</dcterms:created>
  <dcterms:modified xsi:type="dcterms:W3CDTF">2020-09-24T02:33:01Z</dcterms:modified>
</cp:coreProperties>
</file>